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FP\Workgroups and Int Parties\Comm. Long Term-Behavioral Health\2025-2026 HOSWorkgroup\Meetings\3-10-26\"/>
    </mc:Choice>
  </mc:AlternateContent>
  <xr:revisionPtr revIDLastSave="0" documentId="8_{C7C5D8B8-F3F6-4582-A97D-7F2ED8EAC1BD}" xr6:coauthVersionLast="47" xr6:coauthVersionMax="47" xr10:uidLastSave="{00000000-0000-0000-0000-000000000000}"/>
  <bookViews>
    <workbookView xWindow="-28920" yWindow="-15" windowWidth="29040" windowHeight="17520" xr2:uid="{A3E00215-A7AB-4FBA-96FD-EB25655AEE5F}"/>
  </bookViews>
  <sheets>
    <sheet name="Run Model" sheetId="3" r:id="rId1"/>
    <sheet name="Table 13B" sheetId="1" r:id="rId2"/>
    <sheet name="Death Rate" sheetId="2" r:id="rId3"/>
  </sheets>
  <definedNames>
    <definedName name="_xlnm._FilterDatabase" localSheetId="2" hidden="1">'Death Rate'!$A$1:$Q$102</definedName>
    <definedName name="_xlnm.Print_Area" localSheetId="1">'Table 13B'!$A$1:$M$105</definedName>
    <definedName name="_xlnm.Print_Titles" localSheetId="1">'Table 13B'!$1:$4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M4" i="1"/>
  <c r="I102" i="2" l="1"/>
  <c r="E102" i="2"/>
  <c r="J102" i="2" s="1"/>
  <c r="F102" i="2"/>
  <c r="G102" i="2"/>
  <c r="H102" i="2"/>
  <c r="C102" i="2"/>
  <c r="D102" i="2"/>
  <c r="B10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2" i="2"/>
  <c r="J3" i="2"/>
  <c r="J83" i="2" l="1"/>
  <c r="J54" i="2"/>
  <c r="J93" i="2"/>
  <c r="J77" i="2"/>
  <c r="J69" i="2"/>
  <c r="J53" i="2"/>
  <c r="J45" i="2"/>
  <c r="J37" i="2"/>
  <c r="J29" i="2"/>
  <c r="J13" i="2"/>
  <c r="J5" i="2"/>
  <c r="J70" i="2"/>
  <c r="J14" i="2"/>
  <c r="J101" i="2"/>
  <c r="J85" i="2"/>
  <c r="J61" i="2"/>
  <c r="J21" i="2"/>
  <c r="J94" i="2"/>
  <c r="J62" i="2"/>
  <c r="J22" i="2"/>
  <c r="J99" i="2"/>
  <c r="J91" i="2"/>
  <c r="J75" i="2"/>
  <c r="J67" i="2"/>
  <c r="J59" i="2"/>
  <c r="J51" i="2"/>
  <c r="J43" i="2"/>
  <c r="J35" i="2"/>
  <c r="J27" i="2"/>
  <c r="J19" i="2"/>
  <c r="J11" i="2"/>
  <c r="J6" i="2"/>
  <c r="J86" i="2"/>
  <c r="J78" i="2"/>
  <c r="J46" i="2"/>
  <c r="J38" i="2"/>
  <c r="J30" i="2"/>
  <c r="J2" i="2"/>
  <c r="J82" i="2"/>
  <c r="J58" i="2"/>
  <c r="J10" i="2"/>
  <c r="J98" i="2"/>
  <c r="J90" i="2"/>
  <c r="J74" i="2"/>
  <c r="J66" i="2"/>
  <c r="J50" i="2"/>
  <c r="J42" i="2"/>
  <c r="J34" i="2"/>
  <c r="J26" i="2"/>
  <c r="J18" i="2"/>
  <c r="J8" i="2"/>
  <c r="J96" i="2"/>
  <c r="J88" i="2"/>
  <c r="J80" i="2"/>
  <c r="J72" i="2"/>
  <c r="J64" i="2"/>
  <c r="J56" i="2"/>
  <c r="J48" i="2"/>
  <c r="J40" i="2"/>
  <c r="J32" i="2"/>
  <c r="J24" i="2"/>
  <c r="J16" i="2"/>
  <c r="J100" i="2"/>
  <c r="J92" i="2"/>
  <c r="J84" i="2"/>
  <c r="J76" i="2"/>
  <c r="J68" i="2"/>
  <c r="J60" i="2"/>
  <c r="J52" i="2"/>
  <c r="J44" i="2"/>
  <c r="J36" i="2"/>
  <c r="J28" i="2"/>
  <c r="J20" i="2"/>
  <c r="J12" i="2"/>
  <c r="J4" i="2"/>
  <c r="J97" i="2"/>
  <c r="J89" i="2"/>
  <c r="J81" i="2"/>
  <c r="J73" i="2"/>
  <c r="J65" i="2"/>
  <c r="J57" i="2"/>
  <c r="J49" i="2"/>
  <c r="J41" i="2"/>
  <c r="J33" i="2"/>
  <c r="J25" i="2"/>
  <c r="J17" i="2"/>
  <c r="J9" i="2"/>
  <c r="J95" i="2"/>
  <c r="J87" i="2"/>
  <c r="J79" i="2"/>
  <c r="J71" i="2"/>
  <c r="J63" i="2"/>
  <c r="J55" i="2"/>
  <c r="J47" i="2"/>
  <c r="J39" i="2"/>
  <c r="J31" i="2"/>
  <c r="J23" i="2"/>
  <c r="J15" i="2"/>
  <c r="J7" i="2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5" i="1"/>
  <c r="K105" i="1" l="1"/>
  <c r="L105" i="1" s="1"/>
  <c r="E105" i="1"/>
  <c r="C105" i="1"/>
  <c r="F104" i="1"/>
  <c r="D104" i="1"/>
  <c r="F103" i="1"/>
  <c r="D103" i="1"/>
  <c r="G103" i="1" s="1"/>
  <c r="F102" i="1"/>
  <c r="D102" i="1"/>
  <c r="I102" i="1" s="1"/>
  <c r="F101" i="1"/>
  <c r="D101" i="1"/>
  <c r="I101" i="1" s="1"/>
  <c r="F100" i="1"/>
  <c r="D100" i="1"/>
  <c r="G100" i="1" s="1"/>
  <c r="F99" i="1"/>
  <c r="D99" i="1"/>
  <c r="G99" i="1" s="1"/>
  <c r="F98" i="1"/>
  <c r="D98" i="1"/>
  <c r="I98" i="1" s="1"/>
  <c r="F97" i="1"/>
  <c r="D97" i="1"/>
  <c r="I97" i="1" s="1"/>
  <c r="F96" i="1"/>
  <c r="D96" i="1"/>
  <c r="F95" i="1"/>
  <c r="D95" i="1"/>
  <c r="G95" i="1" s="1"/>
  <c r="F94" i="1"/>
  <c r="D94" i="1"/>
  <c r="I94" i="1" s="1"/>
  <c r="F93" i="1"/>
  <c r="D93" i="1"/>
  <c r="I93" i="1" s="1"/>
  <c r="F92" i="1"/>
  <c r="D92" i="1"/>
  <c r="G92" i="1" s="1"/>
  <c r="F91" i="1"/>
  <c r="D91" i="1"/>
  <c r="I91" i="1" s="1"/>
  <c r="F90" i="1"/>
  <c r="D90" i="1"/>
  <c r="I90" i="1" s="1"/>
  <c r="F89" i="1"/>
  <c r="D89" i="1"/>
  <c r="I89" i="1" s="1"/>
  <c r="F88" i="1"/>
  <c r="D88" i="1"/>
  <c r="F87" i="1"/>
  <c r="D87" i="1"/>
  <c r="I87" i="1" s="1"/>
  <c r="F86" i="1"/>
  <c r="D86" i="1"/>
  <c r="I86" i="1" s="1"/>
  <c r="F85" i="1"/>
  <c r="D85" i="1"/>
  <c r="I85" i="1" s="1"/>
  <c r="F84" i="1"/>
  <c r="D84" i="1"/>
  <c r="G84" i="1" s="1"/>
  <c r="F83" i="1"/>
  <c r="D83" i="1"/>
  <c r="I83" i="1" s="1"/>
  <c r="F82" i="1"/>
  <c r="D82" i="1"/>
  <c r="G82" i="1" s="1"/>
  <c r="F81" i="1"/>
  <c r="D81" i="1"/>
  <c r="I81" i="1" s="1"/>
  <c r="F80" i="1"/>
  <c r="D80" i="1"/>
  <c r="F79" i="1"/>
  <c r="D79" i="1"/>
  <c r="F78" i="1"/>
  <c r="D78" i="1"/>
  <c r="I78" i="1" s="1"/>
  <c r="F77" i="1"/>
  <c r="D77" i="1"/>
  <c r="I77" i="1" s="1"/>
  <c r="F76" i="1"/>
  <c r="D76" i="1"/>
  <c r="G76" i="1" s="1"/>
  <c r="F75" i="1"/>
  <c r="D75" i="1"/>
  <c r="I75" i="1" s="1"/>
  <c r="F74" i="1"/>
  <c r="D74" i="1"/>
  <c r="I74" i="1" s="1"/>
  <c r="F73" i="1"/>
  <c r="D73" i="1"/>
  <c r="I73" i="1" s="1"/>
  <c r="F72" i="1"/>
  <c r="D72" i="1"/>
  <c r="F71" i="1"/>
  <c r="D71" i="1"/>
  <c r="I71" i="1" s="1"/>
  <c r="F70" i="1"/>
  <c r="D70" i="1"/>
  <c r="I70" i="1" s="1"/>
  <c r="F69" i="1"/>
  <c r="D69" i="1"/>
  <c r="F68" i="1"/>
  <c r="D68" i="1"/>
  <c r="G68" i="1" s="1"/>
  <c r="F67" i="1"/>
  <c r="D67" i="1"/>
  <c r="I67" i="1" s="1"/>
  <c r="F66" i="1"/>
  <c r="D66" i="1"/>
  <c r="I66" i="1" s="1"/>
  <c r="F65" i="1"/>
  <c r="D65" i="1"/>
  <c r="G65" i="1" s="1"/>
  <c r="F64" i="1"/>
  <c r="D64" i="1"/>
  <c r="F63" i="1"/>
  <c r="D63" i="1"/>
  <c r="I63" i="1" s="1"/>
  <c r="F62" i="1"/>
  <c r="D62" i="1"/>
  <c r="I62" i="1" s="1"/>
  <c r="F61" i="1"/>
  <c r="D61" i="1"/>
  <c r="F60" i="1"/>
  <c r="D60" i="1"/>
  <c r="G60" i="1" s="1"/>
  <c r="F59" i="1"/>
  <c r="D59" i="1"/>
  <c r="I59" i="1" s="1"/>
  <c r="F58" i="1"/>
  <c r="D58" i="1"/>
  <c r="I58" i="1" s="1"/>
  <c r="F57" i="1"/>
  <c r="D57" i="1"/>
  <c r="I57" i="1" s="1"/>
  <c r="F56" i="1"/>
  <c r="D56" i="1"/>
  <c r="F55" i="1"/>
  <c r="D55" i="1"/>
  <c r="I55" i="1" s="1"/>
  <c r="F54" i="1"/>
  <c r="D54" i="1"/>
  <c r="I54" i="1" s="1"/>
  <c r="F53" i="1"/>
  <c r="D53" i="1"/>
  <c r="G53" i="1" s="1"/>
  <c r="F52" i="1"/>
  <c r="D52" i="1"/>
  <c r="G52" i="1" s="1"/>
  <c r="F51" i="1"/>
  <c r="D51" i="1"/>
  <c r="G51" i="1" s="1"/>
  <c r="F50" i="1"/>
  <c r="D50" i="1"/>
  <c r="I50" i="1" s="1"/>
  <c r="F49" i="1"/>
  <c r="D49" i="1"/>
  <c r="G49" i="1" s="1"/>
  <c r="F48" i="1"/>
  <c r="D48" i="1"/>
  <c r="F47" i="1"/>
  <c r="D47" i="1"/>
  <c r="I47" i="1" s="1"/>
  <c r="F46" i="1"/>
  <c r="D46" i="1"/>
  <c r="I46" i="1" s="1"/>
  <c r="F45" i="1"/>
  <c r="D45" i="1"/>
  <c r="G45" i="1" s="1"/>
  <c r="F44" i="1"/>
  <c r="D44" i="1"/>
  <c r="G44" i="1" s="1"/>
  <c r="F43" i="1"/>
  <c r="D43" i="1"/>
  <c r="I43" i="1" s="1"/>
  <c r="F42" i="1"/>
  <c r="D42" i="1"/>
  <c r="I42" i="1" s="1"/>
  <c r="F41" i="1"/>
  <c r="D41" i="1"/>
  <c r="I41" i="1" s="1"/>
  <c r="F40" i="1"/>
  <c r="D40" i="1"/>
  <c r="F39" i="1"/>
  <c r="D39" i="1"/>
  <c r="I39" i="1" s="1"/>
  <c r="F38" i="1"/>
  <c r="D38" i="1"/>
  <c r="I38" i="1" s="1"/>
  <c r="F37" i="1"/>
  <c r="D37" i="1"/>
  <c r="G37" i="1" s="1"/>
  <c r="F36" i="1"/>
  <c r="D36" i="1"/>
  <c r="G36" i="1" s="1"/>
  <c r="F35" i="1"/>
  <c r="D35" i="1"/>
  <c r="G35" i="1" s="1"/>
  <c r="F34" i="1"/>
  <c r="D34" i="1"/>
  <c r="G34" i="1" s="1"/>
  <c r="F33" i="1"/>
  <c r="D33" i="1"/>
  <c r="G33" i="1" s="1"/>
  <c r="F32" i="1"/>
  <c r="D32" i="1"/>
  <c r="F31" i="1"/>
  <c r="D31" i="1"/>
  <c r="I31" i="1" s="1"/>
  <c r="F30" i="1"/>
  <c r="D30" i="1"/>
  <c r="I30" i="1" s="1"/>
  <c r="F29" i="1"/>
  <c r="D29" i="1"/>
  <c r="G29" i="1" s="1"/>
  <c r="F28" i="1"/>
  <c r="D28" i="1"/>
  <c r="G28" i="1" s="1"/>
  <c r="F27" i="1"/>
  <c r="D27" i="1"/>
  <c r="G27" i="1" s="1"/>
  <c r="F26" i="1"/>
  <c r="D26" i="1"/>
  <c r="I26" i="1" s="1"/>
  <c r="F25" i="1"/>
  <c r="D25" i="1"/>
  <c r="I25" i="1" s="1"/>
  <c r="F24" i="1"/>
  <c r="D24" i="1"/>
  <c r="F23" i="1"/>
  <c r="D23" i="1"/>
  <c r="I23" i="1" s="1"/>
  <c r="F22" i="1"/>
  <c r="D22" i="1"/>
  <c r="I22" i="1" s="1"/>
  <c r="F21" i="1"/>
  <c r="D21" i="1"/>
  <c r="G21" i="1" s="1"/>
  <c r="F20" i="1"/>
  <c r="D20" i="1"/>
  <c r="G20" i="1" s="1"/>
  <c r="F19" i="1"/>
  <c r="D19" i="1"/>
  <c r="G19" i="1" s="1"/>
  <c r="F18" i="1"/>
  <c r="D18" i="1"/>
  <c r="G18" i="1" s="1"/>
  <c r="F17" i="1"/>
  <c r="D17" i="1"/>
  <c r="G17" i="1" s="1"/>
  <c r="F16" i="1"/>
  <c r="D16" i="1"/>
  <c r="G16" i="1" s="1"/>
  <c r="F15" i="1"/>
  <c r="D15" i="1"/>
  <c r="G15" i="1" s="1"/>
  <c r="F14" i="1"/>
  <c r="D14" i="1"/>
  <c r="G14" i="1" s="1"/>
  <c r="F13" i="1"/>
  <c r="D13" i="1"/>
  <c r="G13" i="1" s="1"/>
  <c r="F12" i="1"/>
  <c r="D12" i="1"/>
  <c r="G12" i="1" s="1"/>
  <c r="F11" i="1"/>
  <c r="D11" i="1"/>
  <c r="G11" i="1" s="1"/>
  <c r="F10" i="1"/>
  <c r="D10" i="1"/>
  <c r="G10" i="1" s="1"/>
  <c r="F9" i="1"/>
  <c r="D9" i="1"/>
  <c r="G9" i="1" s="1"/>
  <c r="F8" i="1"/>
  <c r="D8" i="1"/>
  <c r="G8" i="1" s="1"/>
  <c r="F7" i="1"/>
  <c r="D7" i="1"/>
  <c r="G7" i="1" s="1"/>
  <c r="F6" i="1"/>
  <c r="D6" i="1"/>
  <c r="G6" i="1" s="1"/>
  <c r="F5" i="1"/>
  <c r="D5" i="1"/>
  <c r="I5" i="1" s="1"/>
  <c r="H36" i="1" l="1"/>
  <c r="H44" i="1"/>
  <c r="H68" i="1"/>
  <c r="H92" i="1"/>
  <c r="I99" i="1"/>
  <c r="H34" i="1"/>
  <c r="H82" i="1"/>
  <c r="H35" i="1"/>
  <c r="H51" i="1"/>
  <c r="H103" i="1"/>
  <c r="G90" i="1"/>
  <c r="H90" i="1" s="1"/>
  <c r="J90" i="1" s="1"/>
  <c r="M90" i="1" s="1"/>
  <c r="G26" i="1"/>
  <c r="H26" i="1" s="1"/>
  <c r="J26" i="1" s="1"/>
  <c r="M26" i="1" s="1"/>
  <c r="G42" i="1"/>
  <c r="H42" i="1" s="1"/>
  <c r="J42" i="1" s="1"/>
  <c r="M42" i="1" s="1"/>
  <c r="I49" i="1"/>
  <c r="I27" i="1"/>
  <c r="I65" i="1"/>
  <c r="G73" i="1"/>
  <c r="H73" i="1" s="1"/>
  <c r="J73" i="1" s="1"/>
  <c r="M73" i="1" s="1"/>
  <c r="I21" i="1"/>
  <c r="H28" i="1"/>
  <c r="I6" i="1"/>
  <c r="H52" i="1"/>
  <c r="H84" i="1"/>
  <c r="H99" i="1"/>
  <c r="J99" i="1" s="1"/>
  <c r="M99" i="1" s="1"/>
  <c r="H6" i="1"/>
  <c r="I36" i="1"/>
  <c r="J36" i="1" s="1"/>
  <c r="M36" i="1" s="1"/>
  <c r="I51" i="1"/>
  <c r="I60" i="1"/>
  <c r="G67" i="1"/>
  <c r="H67" i="1" s="1"/>
  <c r="J67" i="1" s="1"/>
  <c r="M67" i="1" s="1"/>
  <c r="I76" i="1"/>
  <c r="G43" i="1"/>
  <c r="H43" i="1" s="1"/>
  <c r="J43" i="1" s="1"/>
  <c r="M43" i="1" s="1"/>
  <c r="G50" i="1"/>
  <c r="H50" i="1" s="1"/>
  <c r="J50" i="1" s="1"/>
  <c r="M50" i="1" s="1"/>
  <c r="G63" i="1"/>
  <c r="H63" i="1" s="1"/>
  <c r="J63" i="1" s="1"/>
  <c r="G91" i="1"/>
  <c r="H91" i="1" s="1"/>
  <c r="J91" i="1" s="1"/>
  <c r="M91" i="1" s="1"/>
  <c r="I14" i="1"/>
  <c r="I28" i="1"/>
  <c r="I35" i="1"/>
  <c r="G39" i="1"/>
  <c r="H39" i="1" s="1"/>
  <c r="J39" i="1" s="1"/>
  <c r="M39" i="1" s="1"/>
  <c r="G57" i="1"/>
  <c r="H57" i="1" s="1"/>
  <c r="J57" i="1" s="1"/>
  <c r="M57" i="1" s="1"/>
  <c r="G59" i="1"/>
  <c r="H59" i="1" s="1"/>
  <c r="J59" i="1" s="1"/>
  <c r="M59" i="1" s="1"/>
  <c r="G70" i="1"/>
  <c r="H70" i="1" s="1"/>
  <c r="J70" i="1" s="1"/>
  <c r="M70" i="1" s="1"/>
  <c r="H27" i="1"/>
  <c r="I68" i="1"/>
  <c r="I82" i="1"/>
  <c r="H29" i="1"/>
  <c r="H60" i="1"/>
  <c r="H76" i="1"/>
  <c r="H95" i="1"/>
  <c r="H100" i="1"/>
  <c r="I13" i="1"/>
  <c r="I29" i="1"/>
  <c r="I34" i="1"/>
  <c r="G38" i="1"/>
  <c r="H38" i="1" s="1"/>
  <c r="J38" i="1" s="1"/>
  <c r="M38" i="1" s="1"/>
  <c r="G78" i="1"/>
  <c r="H78" i="1" s="1"/>
  <c r="J78" i="1" s="1"/>
  <c r="M78" i="1" s="1"/>
  <c r="H18" i="1"/>
  <c r="G81" i="1"/>
  <c r="H81" i="1" s="1"/>
  <c r="J81" i="1" s="1"/>
  <c r="M81" i="1" s="1"/>
  <c r="G86" i="1"/>
  <c r="H86" i="1" s="1"/>
  <c r="J86" i="1" s="1"/>
  <c r="M86" i="1" s="1"/>
  <c r="G98" i="1"/>
  <c r="H98" i="1" s="1"/>
  <c r="J98" i="1" s="1"/>
  <c r="M98" i="1" s="1"/>
  <c r="I18" i="1"/>
  <c r="I33" i="1"/>
  <c r="I44" i="1"/>
  <c r="G46" i="1"/>
  <c r="H46" i="1" s="1"/>
  <c r="J46" i="1" s="1"/>
  <c r="M46" i="1" s="1"/>
  <c r="G54" i="1"/>
  <c r="H54" i="1" s="1"/>
  <c r="J54" i="1" s="1"/>
  <c r="M54" i="1" s="1"/>
  <c r="G58" i="1"/>
  <c r="H58" i="1" s="1"/>
  <c r="J58" i="1" s="1"/>
  <c r="M58" i="1" s="1"/>
  <c r="G75" i="1"/>
  <c r="H75" i="1" s="1"/>
  <c r="J75" i="1" s="1"/>
  <c r="M75" i="1" s="1"/>
  <c r="I84" i="1"/>
  <c r="G94" i="1"/>
  <c r="H94" i="1" s="1"/>
  <c r="J94" i="1" s="1"/>
  <c r="M94" i="1" s="1"/>
  <c r="I9" i="1"/>
  <c r="H14" i="1"/>
  <c r="G23" i="1"/>
  <c r="H23" i="1" s="1"/>
  <c r="J23" i="1" s="1"/>
  <c r="M23" i="1" s="1"/>
  <c r="G41" i="1"/>
  <c r="H41" i="1" s="1"/>
  <c r="J41" i="1" s="1"/>
  <c r="M41" i="1" s="1"/>
  <c r="I52" i="1"/>
  <c r="G62" i="1"/>
  <c r="H62" i="1" s="1"/>
  <c r="J62" i="1" s="1"/>
  <c r="M62" i="1" s="1"/>
  <c r="G66" i="1"/>
  <c r="H66" i="1" s="1"/>
  <c r="J66" i="1" s="1"/>
  <c r="M66" i="1" s="1"/>
  <c r="G89" i="1"/>
  <c r="H89" i="1" s="1"/>
  <c r="J89" i="1" s="1"/>
  <c r="M89" i="1" s="1"/>
  <c r="I92" i="1"/>
  <c r="J92" i="1" s="1"/>
  <c r="M92" i="1" s="1"/>
  <c r="G102" i="1"/>
  <c r="H102" i="1" s="1"/>
  <c r="J102" i="1" s="1"/>
  <c r="M102" i="1" s="1"/>
  <c r="G74" i="1"/>
  <c r="H74" i="1" s="1"/>
  <c r="J74" i="1" s="1"/>
  <c r="M74" i="1" s="1"/>
  <c r="G83" i="1"/>
  <c r="H83" i="1" s="1"/>
  <c r="J83" i="1" s="1"/>
  <c r="M83" i="1" s="1"/>
  <c r="G97" i="1"/>
  <c r="H97" i="1" s="1"/>
  <c r="J97" i="1" s="1"/>
  <c r="M97" i="1" s="1"/>
  <c r="I100" i="1"/>
  <c r="H10" i="1"/>
  <c r="I10" i="1"/>
  <c r="I17" i="1"/>
  <c r="I45" i="1"/>
  <c r="G55" i="1"/>
  <c r="H55" i="1" s="1"/>
  <c r="J55" i="1" s="1"/>
  <c r="G104" i="1"/>
  <c r="H104" i="1" s="1"/>
  <c r="I104" i="1"/>
  <c r="G24" i="1"/>
  <c r="H24" i="1" s="1"/>
  <c r="I24" i="1"/>
  <c r="H11" i="1"/>
  <c r="H19" i="1"/>
  <c r="G32" i="1"/>
  <c r="H32" i="1" s="1"/>
  <c r="I32" i="1"/>
  <c r="H53" i="1"/>
  <c r="I61" i="1"/>
  <c r="G61" i="1"/>
  <c r="H61" i="1" s="1"/>
  <c r="G80" i="1"/>
  <c r="H80" i="1" s="1"/>
  <c r="I80" i="1"/>
  <c r="F105" i="1"/>
  <c r="I69" i="1"/>
  <c r="G69" i="1"/>
  <c r="H69" i="1" s="1"/>
  <c r="D105" i="1"/>
  <c r="G5" i="1"/>
  <c r="H5" i="1" s="1"/>
  <c r="J5" i="1" s="1"/>
  <c r="M5" i="1" s="1"/>
  <c r="H8" i="1"/>
  <c r="I11" i="1"/>
  <c r="H16" i="1"/>
  <c r="I19" i="1"/>
  <c r="G47" i="1"/>
  <c r="H47" i="1" s="1"/>
  <c r="J47" i="1" s="1"/>
  <c r="M47" i="1" s="1"/>
  <c r="H49" i="1"/>
  <c r="I53" i="1"/>
  <c r="I8" i="1"/>
  <c r="H13" i="1"/>
  <c r="I16" i="1"/>
  <c r="H21" i="1"/>
  <c r="J21" i="1" s="1"/>
  <c r="M21" i="1" s="1"/>
  <c r="G40" i="1"/>
  <c r="H40" i="1" s="1"/>
  <c r="I40" i="1"/>
  <c r="H65" i="1"/>
  <c r="G71" i="1"/>
  <c r="H71" i="1" s="1"/>
  <c r="J71" i="1" s="1"/>
  <c r="M71" i="1" s="1"/>
  <c r="H7" i="1"/>
  <c r="H15" i="1"/>
  <c r="H37" i="1"/>
  <c r="G48" i="1"/>
  <c r="H48" i="1" s="1"/>
  <c r="I48" i="1"/>
  <c r="G72" i="1"/>
  <c r="H72" i="1" s="1"/>
  <c r="I72" i="1"/>
  <c r="G88" i="1"/>
  <c r="H88" i="1" s="1"/>
  <c r="I88" i="1"/>
  <c r="I7" i="1"/>
  <c r="H12" i="1"/>
  <c r="I15" i="1"/>
  <c r="H20" i="1"/>
  <c r="G25" i="1"/>
  <c r="H25" i="1" s="1"/>
  <c r="J25" i="1" s="1"/>
  <c r="M25" i="1" s="1"/>
  <c r="G31" i="1"/>
  <c r="H31" i="1" s="1"/>
  <c r="J31" i="1" s="1"/>
  <c r="M31" i="1" s="1"/>
  <c r="H33" i="1"/>
  <c r="I37" i="1"/>
  <c r="G64" i="1"/>
  <c r="H64" i="1" s="1"/>
  <c r="I64" i="1"/>
  <c r="I79" i="1"/>
  <c r="G79" i="1"/>
  <c r="H79" i="1" s="1"/>
  <c r="G96" i="1"/>
  <c r="H96" i="1" s="1"/>
  <c r="I96" i="1"/>
  <c r="H9" i="1"/>
  <c r="I12" i="1"/>
  <c r="H17" i="1"/>
  <c r="I20" i="1"/>
  <c r="H45" i="1"/>
  <c r="G56" i="1"/>
  <c r="H56" i="1" s="1"/>
  <c r="I56" i="1"/>
  <c r="G87" i="1"/>
  <c r="H87" i="1" s="1"/>
  <c r="J87" i="1" s="1"/>
  <c r="M87" i="1" s="1"/>
  <c r="G22" i="1"/>
  <c r="H22" i="1" s="1"/>
  <c r="J22" i="1" s="1"/>
  <c r="M22" i="1" s="1"/>
  <c r="G30" i="1"/>
  <c r="H30" i="1" s="1"/>
  <c r="J30" i="1" s="1"/>
  <c r="G77" i="1"/>
  <c r="H77" i="1" s="1"/>
  <c r="J77" i="1" s="1"/>
  <c r="M77" i="1" s="1"/>
  <c r="G85" i="1"/>
  <c r="H85" i="1" s="1"/>
  <c r="J85" i="1" s="1"/>
  <c r="M85" i="1" s="1"/>
  <c r="G93" i="1"/>
  <c r="H93" i="1" s="1"/>
  <c r="J93" i="1" s="1"/>
  <c r="M93" i="1" s="1"/>
  <c r="I95" i="1"/>
  <c r="G101" i="1"/>
  <c r="H101" i="1" s="1"/>
  <c r="J101" i="1" s="1"/>
  <c r="M101" i="1" s="1"/>
  <c r="I103" i="1"/>
  <c r="J103" i="1" s="1"/>
  <c r="M103" i="1" s="1"/>
  <c r="J44" i="1" l="1"/>
  <c r="M44" i="1" s="1"/>
  <c r="J34" i="1"/>
  <c r="M34" i="1" s="1"/>
  <c r="J35" i="1"/>
  <c r="M35" i="1" s="1"/>
  <c r="J82" i="1"/>
  <c r="M82" i="1" s="1"/>
  <c r="J68" i="1"/>
  <c r="M68" i="1" s="1"/>
  <c r="J14" i="1"/>
  <c r="M14" i="1" s="1"/>
  <c r="J45" i="1"/>
  <c r="M45" i="1" s="1"/>
  <c r="J16" i="1"/>
  <c r="M16" i="1" s="1"/>
  <c r="J51" i="1"/>
  <c r="M51" i="1" s="1"/>
  <c r="J27" i="1"/>
  <c r="M27" i="1" s="1"/>
  <c r="J12" i="1"/>
  <c r="M12" i="1" s="1"/>
  <c r="J37" i="1"/>
  <c r="M37" i="1" s="1"/>
  <c r="J18" i="1"/>
  <c r="M18" i="1" s="1"/>
  <c r="J76" i="1"/>
  <c r="M76" i="1" s="1"/>
  <c r="J17" i="1"/>
  <c r="M17" i="1" s="1"/>
  <c r="J84" i="1"/>
  <c r="M84" i="1" s="1"/>
  <c r="J33" i="1"/>
  <c r="M33" i="1" s="1"/>
  <c r="J11" i="1"/>
  <c r="M11" i="1" s="1"/>
  <c r="J8" i="1"/>
  <c r="M8" i="1" s="1"/>
  <c r="J61" i="1"/>
  <c r="M61" i="1" s="1"/>
  <c r="J40" i="1"/>
  <c r="M40" i="1" s="1"/>
  <c r="J100" i="1"/>
  <c r="M100" i="1" s="1"/>
  <c r="J69" i="1"/>
  <c r="M69" i="1" s="1"/>
  <c r="J95" i="1"/>
  <c r="M95" i="1" s="1"/>
  <c r="J19" i="1"/>
  <c r="M19" i="1" s="1"/>
  <c r="J64" i="1"/>
  <c r="M64" i="1" s="1"/>
  <c r="J13" i="1"/>
  <c r="M13" i="1" s="1"/>
  <c r="J28" i="1"/>
  <c r="M28" i="1" s="1"/>
  <c r="J7" i="1"/>
  <c r="M7" i="1" s="1"/>
  <c r="J10" i="1"/>
  <c r="M10" i="1" s="1"/>
  <c r="J104" i="1"/>
  <c r="M104" i="1" s="1"/>
  <c r="J49" i="1"/>
  <c r="M49" i="1" s="1"/>
  <c r="J29" i="1"/>
  <c r="M29" i="1" s="1"/>
  <c r="J52" i="1"/>
  <c r="M52" i="1" s="1"/>
  <c r="J48" i="1"/>
  <c r="J80" i="1"/>
  <c r="M80" i="1" s="1"/>
  <c r="J15" i="1"/>
  <c r="M15" i="1" s="1"/>
  <c r="J24" i="1"/>
  <c r="M24" i="1" s="1"/>
  <c r="J6" i="1"/>
  <c r="M6" i="1" s="1"/>
  <c r="J9" i="1"/>
  <c r="M9" i="1" s="1"/>
  <c r="J88" i="1"/>
  <c r="M88" i="1" s="1"/>
  <c r="J53" i="1"/>
  <c r="M53" i="1" s="1"/>
  <c r="J60" i="1"/>
  <c r="M60" i="1" s="1"/>
  <c r="J96" i="1"/>
  <c r="M96" i="1" s="1"/>
  <c r="J65" i="1"/>
  <c r="M65" i="1" s="1"/>
  <c r="J56" i="1"/>
  <c r="M56" i="1" s="1"/>
  <c r="J79" i="1"/>
  <c r="M79" i="1" s="1"/>
  <c r="J20" i="1"/>
  <c r="M20" i="1" s="1"/>
  <c r="J72" i="1"/>
  <c r="M72" i="1" s="1"/>
  <c r="J32" i="1"/>
  <c r="M32" i="1" s="1"/>
  <c r="I105" i="1"/>
  <c r="H105" i="1"/>
  <c r="G105" i="1"/>
  <c r="F11" i="3" l="1" a="1"/>
  <c r="F11" i="3" s="1"/>
  <c r="J105" i="1"/>
  <c r="M105" i="1"/>
  <c r="O4" i="1" s="1"/>
  <c r="F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<sst xmlns="http://schemas.openxmlformats.org/spreadsheetml/2006/main" count="261" uniqueCount="165">
  <si>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</si>
  <si>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</si>
  <si>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</si>
  <si>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</si>
  <si>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</si>
  <si>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</si>
  <si>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</si>
  <si>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</si>
  <si>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</si>
  <si>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</si>
  <si>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</si>
  <si>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</si>
  <si>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</si>
  <si>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</si>
  <si>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</si>
  <si>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</si>
  <si>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</si>
  <si>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</si>
  <si>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</si>
  <si>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</si>
  <si>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</si>
  <si>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</si>
  <si>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</si>
  <si>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</si>
  <si>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</si>
  <si>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</si>
  <si>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</si>
  <si>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</si>
  <si>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</si>
  <si>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</si>
  <si>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</si>
  <si>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</si>
  <si>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</si>
  <si>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</si>
  <si>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</si>
  <si>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</si>
  <si>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</si>
  <si>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</si>
  <si>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</si>
  <si>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</si>
  <si>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</si>
  <si>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</si>
  <si>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</si>
  <si>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</si>
  <si>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</si>
  <si>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Edgecombe</t>
  </si>
  <si>
    <t>Forsyth</t>
  </si>
  <si>
    <t>Franklin</t>
  </si>
  <si>
    <t>Gaston</t>
  </si>
  <si>
    <t>Gates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</si>
  <si>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</si>
  <si>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</si>
  <si>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</si>
  <si>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</si>
  <si>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</si>
  <si>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</si>
  <si>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</si>
  <si>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</si>
  <si>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</si>
  <si>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</si>
  <si>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</si>
  <si>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</si>
  <si>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</si>
  <si>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</si>
  <si>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</si>
  <si>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</si>
  <si>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</si>
  <si>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</si>
  <si>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</si>
  <si>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</si>
  <si>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</si>
  <si>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</si>
  <si>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</si>
  <si>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</si>
  <si>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</si>
  <si>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</si>
  <si>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</si>
  <si>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</si>
  <si>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</si>
  <si>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</si>
  <si>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</si>
  <si>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</si>
  <si>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</si>
  <si>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</si>
  <si>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</si>
  <si>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</si>
  <si>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</si>
  <si>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</si>
  <si>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</si>
  <si>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</si>
  <si>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</si>
  <si>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</si>
  <si>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</si>
  <si>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</si>
  <si>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</si>
  <si>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</si>
  <si>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</si>
  <si>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</si>
  <si>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</si>
  <si>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</si>
  <si>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</si>
  <si>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</si>
  <si>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</si>
  <si>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</si>
  <si>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</si>
  <si>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</si>
  <si>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</si>
  <si>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</si>
  <si>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</si>
  <si>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</si>
  <si>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</si>
  <si>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</si>
  <si>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</si>
  <si>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Location</t>
  </si>
  <si>
    <t>Pop_2018</t>
  </si>
  <si>
    <t>Pop_2019</t>
  </si>
  <si>
    <t>2018_Death</t>
  </si>
  <si>
    <t>2019_Death</t>
  </si>
  <si>
    <t>3 Yrs Death Rate</t>
  </si>
  <si>
    <t xml:space="preserve">Denominator of Population Variable </t>
  </si>
  <si>
    <t>Table 13B: Year 2027 Hospice Home Care Office Need Projections</t>
  </si>
  <si>
    <t xml:space="preserve">2027 Projected Hospice Deaths </t>
  </si>
  <si>
    <t xml:space="preserve">2024 Reported Hospice Deaths </t>
  </si>
  <si>
    <t xml:space="preserve">2027 Projected Number Hospice Deaths Served at Two-year Trailing Average Growth Rate </t>
  </si>
  <si>
    <t>2027           Projected Number Hospice Deaths Served Limited to 60%</t>
  </si>
  <si>
    <t xml:space="preserve">2027 Projected Number Hospice Deaths Served </t>
  </si>
  <si>
    <t>2027      Projected Median    Hospice    Deaths</t>
  </si>
  <si>
    <t>2027 Projected Number of Additional Deaths to be Served        Surplus or (Deficit)</t>
  </si>
  <si>
    <t>Number of Licensed Hospice Offices Located in County</t>
  </si>
  <si>
    <r>
      <t xml:space="preserve">Source                                 or                                                       Formula </t>
    </r>
    <r>
      <rPr>
        <b/>
        <sz val="11"/>
        <color rgb="FF000000"/>
        <rFont val="Aptos Narrow"/>
        <family val="2"/>
      </rPr>
      <t>→</t>
    </r>
  </si>
  <si>
    <t>NC              Vital Statistics</t>
  </si>
  <si>
    <t xml:space="preserve">NC Office of State Budget </t>
  </si>
  <si>
    <t>Col. B * (Col. C/1,000)</t>
  </si>
  <si>
    <t>2025 License Renewal Application</t>
  </si>
  <si>
    <t>Col. E * 3 Years Growth at 2.7% Annually</t>
  </si>
  <si>
    <t>Col. D * 60%</t>
  </si>
  <si>
    <t>Lower Number Deaths between Col. F and Col. G</t>
  </si>
  <si>
    <t>Col. D * Projected Statewide Median Percent of Deaths Served (51.5%)</t>
  </si>
  <si>
    <t>Col. H-Col. I</t>
  </si>
  <si>
    <t>Table 13A: Inventory of Licensed Hospice Agencies</t>
  </si>
  <si>
    <t>Instructions</t>
  </si>
  <si>
    <t>2024_Death</t>
  </si>
  <si>
    <t>2024_Pop</t>
  </si>
  <si>
    <t>2018+2019+2024
Deaths (3yrs)</t>
  </si>
  <si>
    <t>2018+2019+2024 Population (3 yrs)</t>
  </si>
  <si>
    <t xml:space="preserve"> Hospice Home Care Methodology Model</t>
  </si>
  <si>
    <t xml:space="preserve"> Death Rate (2018, 2019 and 2024)</t>
  </si>
  <si>
    <t xml:space="preserve">County         Service Areas       </t>
  </si>
  <si>
    <t xml:space="preserve">2027 Population </t>
  </si>
  <si>
    <t>Hospice      Office           Need Determination</t>
  </si>
  <si>
    <t>Grand Totals</t>
  </si>
  <si>
    <t>Cumberland*</t>
  </si>
  <si>
    <t>* A two-year mortorium for two SMFP cycles is in place through the 2027 SMFP.</t>
  </si>
  <si>
    <t>North Carolina</t>
  </si>
  <si>
    <t xml:space="preserve">Additional Hospice Offices Needed </t>
  </si>
  <si>
    <t>Number of Hospice Offices Located in County</t>
  </si>
  <si>
    <t>Number of Licensed Hospice Offices in County per (selected value) Population</t>
  </si>
  <si>
    <t>Total Additional Hospice Offices Needed</t>
  </si>
  <si>
    <t>Johnston*</t>
  </si>
  <si>
    <t>Haywood*</t>
  </si>
  <si>
    <t>McDowell*</t>
  </si>
  <si>
    <r>
      <rPr>
        <b/>
        <sz val="10"/>
        <color theme="1"/>
        <rFont val="Aptos Narrow"/>
        <family val="2"/>
        <scheme val="minor"/>
      </rPr>
      <t>Note:</t>
    </r>
    <r>
      <rPr>
        <sz val="10"/>
        <color theme="1"/>
        <rFont val="Aptos Narrow"/>
        <family val="2"/>
        <scheme val="minor"/>
      </rPr>
      <t xml:space="preserve"> If a two-year moratorium is applied, Cumberland, Haywood, Johnston and McDowell counties will not have a need determination.</t>
    </r>
  </si>
  <si>
    <r>
      <rPr>
        <b/>
        <sz val="11"/>
        <rFont val="Aptos Narrow"/>
        <family val="2"/>
        <scheme val="minor"/>
      </rPr>
      <t>Note:</t>
    </r>
    <r>
      <rPr>
        <sz val="11"/>
        <rFont val="Aptos Narrow"/>
        <family val="2"/>
        <scheme val="minor"/>
      </rPr>
      <t xml:space="preserve"> If a two-year moratorium is applied, Cumberland, Haywood, Johnston and McDowell counties will not have a need determination.</t>
    </r>
  </si>
  <si>
    <r>
      <t xml:space="preserve">Staff suggests entering a value between 50,000 - 400,000 in </t>
    </r>
    <r>
      <rPr>
        <sz val="11"/>
        <color rgb="FF00B050"/>
        <rFont val="Aptos Narrow"/>
        <family val="2"/>
      </rPr>
      <t>Column F8</t>
    </r>
    <r>
      <rPr>
        <sz val="11"/>
        <color theme="1"/>
        <rFont val="Aptos Narrow"/>
        <family val="2"/>
      </rPr>
      <t xml:space="preserve"> for the county population denominator.</t>
    </r>
  </si>
  <si>
    <r>
      <t xml:space="preserve">Staff suggests entering a value between 0 - 8 in </t>
    </r>
    <r>
      <rPr>
        <sz val="11"/>
        <color rgb="FF00B050"/>
        <rFont val="Aptos Narrow"/>
        <family val="2"/>
      </rPr>
      <t>Column F9</t>
    </r>
    <r>
      <rPr>
        <sz val="11"/>
        <color theme="1"/>
        <rFont val="Aptos Narrow"/>
        <family val="2"/>
      </rPr>
      <t xml:space="preserve"> for the minimum number of hospice offices in a county.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</si>
</sst>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_(* #,##0_);_(* \(#,##0\);_(* &quot;-&quot;??_);_(@_)"/>
  </numFmts>
  <fonts count="4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b/>
      <sz val="12"/>
      <color rgb="FF7030A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rgb="FF0070C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Calibri"/>
      <family val="2"/>
    </font>
    <font>
      <b/>
      <sz val="14"/>
      <color rgb="FF0070C0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1"/>
      <color rgb="FF0070C0"/>
      <name val="Aptos Narrow"/>
      <family val="2"/>
      <scheme val="minor"/>
    </font>
    <font>
      <b/>
      <sz val="1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indexed="8"/>
      <name val="Calibri"/>
      <family val="2"/>
    </font>
    <font>
      <b/>
      <sz val="18"/>
      <color theme="1"/>
      <name val="Aptos Narrow"/>
      <family val="2"/>
      <scheme val="minor"/>
    </font>
    <font>
      <b/>
      <sz val="12"/>
      <name val="Calibri"/>
      <family val="2"/>
    </font>
    <font>
      <b/>
      <sz val="12"/>
      <color rgb="FF0070C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</font>
    <font>
      <sz val="11"/>
      <color rgb="FF00B050"/>
      <name val="Aptos Narrow"/>
      <family val="2"/>
    </font>
    <font>
      <b/>
      <sz val="18"/>
      <color rgb="FF0070C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4">
    <xf numFmtId="0" fontId="0" fillId="0" borderId="0"/>
    <xf numFmtId="0" fontId="4" fillId="0" borderId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14" applyNumberFormat="0" applyAlignment="0" applyProtection="0"/>
    <xf numFmtId="0" fontId="28" fillId="9" borderId="15" applyNumberFormat="0" applyAlignment="0" applyProtection="0"/>
    <xf numFmtId="0" fontId="29" fillId="9" borderId="14" applyNumberFormat="0" applyAlignment="0" applyProtection="0"/>
    <xf numFmtId="0" fontId="30" fillId="0" borderId="16" applyNumberFormat="0" applyFill="0" applyAlignment="0" applyProtection="0"/>
    <xf numFmtId="0" fontId="31" fillId="10" borderId="17" applyNumberFormat="0" applyAlignment="0" applyProtection="0"/>
    <xf numFmtId="0" fontId="32" fillId="0" borderId="0" applyNumberFormat="0" applyFill="0" applyBorder="0" applyAlignment="0" applyProtection="0"/>
    <xf numFmtId="0" fontId="19" fillId="11" borderId="18" applyNumberFormat="0" applyFont="0" applyAlignment="0" applyProtection="0"/>
    <xf numFmtId="0" fontId="33" fillId="0" borderId="0" applyNumberFormat="0" applyFill="0" applyBorder="0" applyAlignment="0" applyProtection="0"/>
    <xf numFmtId="0" fontId="1" fillId="0" borderId="19" applyNumberFormat="0" applyFill="0" applyAlignment="0" applyProtection="0"/>
    <xf numFmtId="0" fontId="3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3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3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3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3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34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43" fontId="19" fillId="0" borderId="0" applyFont="0" applyFill="0" applyBorder="0" applyAlignment="0" applyProtection="0"/>
  </cellStyleXfs>
  <cellXfs count="88">
    <xf numFmtId="0" fontId="0" fillId="0" borderId="0" xfId="0"/>
    <xf numFmtId="0" fontId="6" fillId="0" borderId="0" xfId="0" applyFont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3" fillId="0" borderId="0" xfId="0" applyFont="1"/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 applyProtection="1">
      <alignment vertical="top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1" xfId="0" applyBorder="1"/>
    <xf numFmtId="0" fontId="0" fillId="0" borderId="27" xfId="0" applyBorder="1"/>
    <xf numFmtId="0" fontId="0" fillId="0" borderId="23" xfId="0" applyBorder="1"/>
    <xf numFmtId="0" fontId="10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0" xfId="0" applyAlignment="1">
      <alignment horizontal="center" vertical="center"/>
    </xf>
    <xf numFmtId="0" fontId="7" fillId="2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6" xfId="0" applyBorder="1"/>
    <xf numFmtId="0" fontId="0" fillId="0" borderId="2" xfId="0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5" fontId="9" fillId="0" borderId="4" xfId="43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 vertical="center" wrapText="1"/>
    </xf>
    <xf numFmtId="0" fontId="1" fillId="0" borderId="0" xfId="0" applyFont="1"/>
    <xf numFmtId="0" fontId="3" fillId="0" borderId="0" xfId="0" applyFont="1" applyAlignment="1">
      <alignment horizontal="center" vertical="top" wrapText="1"/>
    </xf>
    <xf numFmtId="0" fontId="2" fillId="0" borderId="2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0" fillId="0" borderId="20" xfId="0" applyBorder="1"/>
    <xf numFmtId="165" fontId="5" fillId="0" borderId="20" xfId="43" applyNumberFormat="1" applyFont="1" applyBorder="1" applyAlignment="1">
      <alignment horizontal="right" wrapText="1"/>
    </xf>
    <xf numFmtId="165" fontId="6" fillId="0" borderId="20" xfId="43" applyNumberFormat="1" applyFont="1" applyBorder="1" applyAlignment="1">
      <alignment horizontal="right" vertical="center" wrapText="1"/>
    </xf>
    <xf numFmtId="1" fontId="6" fillId="0" borderId="20" xfId="43" applyNumberFormat="1" applyFont="1" applyBorder="1" applyAlignment="1">
      <alignment horizontal="right" vertical="center" wrapText="1"/>
    </xf>
    <xf numFmtId="0" fontId="5" fillId="0" borderId="20" xfId="1" applyFont="1" applyBorder="1" applyAlignment="1">
      <alignment horizontal="center" wrapText="1"/>
    </xf>
    <xf numFmtId="164" fontId="6" fillId="0" borderId="20" xfId="0" applyNumberFormat="1" applyFont="1" applyBorder="1" applyAlignment="1">
      <alignment horizontal="right" vertical="center" wrapText="1"/>
    </xf>
    <xf numFmtId="0" fontId="5" fillId="0" borderId="30" xfId="1" applyFont="1" applyBorder="1" applyAlignment="1">
      <alignment wrapText="1"/>
    </xf>
    <xf numFmtId="0" fontId="0" fillId="0" borderId="31" xfId="0" applyBorder="1"/>
    <xf numFmtId="165" fontId="5" fillId="0" borderId="31" xfId="43" applyNumberFormat="1" applyFont="1" applyBorder="1" applyAlignment="1">
      <alignment horizontal="right" wrapText="1"/>
    </xf>
    <xf numFmtId="165" fontId="6" fillId="0" borderId="31" xfId="43" applyNumberFormat="1" applyFont="1" applyBorder="1" applyAlignment="1">
      <alignment horizontal="right" vertical="center" wrapText="1"/>
    </xf>
    <xf numFmtId="1" fontId="6" fillId="0" borderId="31" xfId="43" applyNumberFormat="1" applyFont="1" applyBorder="1" applyAlignment="1">
      <alignment horizontal="right" vertical="center" wrapText="1"/>
    </xf>
    <xf numFmtId="0" fontId="5" fillId="0" borderId="31" xfId="1" applyFont="1" applyBorder="1" applyAlignment="1">
      <alignment horizontal="center" wrapText="1"/>
    </xf>
    <xf numFmtId="164" fontId="6" fillId="0" borderId="31" xfId="0" applyNumberFormat="1" applyFont="1" applyBorder="1" applyAlignment="1">
      <alignment horizontal="right" vertical="center" wrapText="1"/>
    </xf>
    <xf numFmtId="0" fontId="6" fillId="0" borderId="32" xfId="0" applyFont="1" applyBorder="1" applyAlignment="1">
      <alignment horizontal="center" vertical="center" wrapText="1"/>
    </xf>
    <xf numFmtId="0" fontId="5" fillId="0" borderId="33" xfId="1" applyFont="1" applyBorder="1" applyAlignment="1">
      <alignment wrapText="1"/>
    </xf>
    <xf numFmtId="0" fontId="6" fillId="0" borderId="34" xfId="0" applyFont="1" applyBorder="1" applyAlignment="1">
      <alignment horizontal="center" vertical="center" wrapText="1"/>
    </xf>
    <xf numFmtId="0" fontId="5" fillId="0" borderId="28" xfId="1" applyFont="1" applyBorder="1" applyAlignment="1">
      <alignment wrapText="1"/>
    </xf>
    <xf numFmtId="165" fontId="5" fillId="0" borderId="25" xfId="43" applyNumberFormat="1" applyFont="1" applyBorder="1" applyAlignment="1">
      <alignment horizontal="right" wrapText="1"/>
    </xf>
    <xf numFmtId="165" fontId="6" fillId="0" borderId="25" xfId="43" applyNumberFormat="1" applyFont="1" applyBorder="1" applyAlignment="1">
      <alignment horizontal="right" vertical="center" wrapText="1"/>
    </xf>
    <xf numFmtId="1" fontId="6" fillId="0" borderId="25" xfId="43" applyNumberFormat="1" applyFont="1" applyBorder="1" applyAlignment="1">
      <alignment horizontal="right" vertical="center" wrapText="1"/>
    </xf>
    <xf numFmtId="0" fontId="5" fillId="0" borderId="25" xfId="1" applyFont="1" applyBorder="1" applyAlignment="1">
      <alignment horizontal="center" wrapText="1"/>
    </xf>
    <xf numFmtId="164" fontId="6" fillId="0" borderId="25" xfId="0" applyNumberFormat="1" applyFont="1" applyBorder="1" applyAlignment="1">
      <alignment horizontal="right" vertical="center" wrapText="1"/>
    </xf>
    <xf numFmtId="0" fontId="6" fillId="0" borderId="29" xfId="0" applyFont="1" applyBorder="1" applyAlignment="1">
      <alignment horizontal="center" vertical="center" wrapText="1"/>
    </xf>
    <xf numFmtId="0" fontId="35" fillId="2" borderId="5" xfId="1" applyFont="1" applyFill="1" applyBorder="1" applyAlignment="1">
      <alignment horizontal="center" wrapText="1"/>
    </xf>
    <xf numFmtId="164" fontId="1" fillId="2" borderId="6" xfId="0" applyNumberFormat="1" applyFont="1" applyFill="1" applyBorder="1"/>
    <xf numFmtId="165" fontId="1" fillId="2" borderId="6" xfId="43" applyNumberFormat="1" applyFont="1" applyFill="1" applyBorder="1"/>
    <xf numFmtId="1" fontId="1" fillId="2" borderId="6" xfId="43" applyNumberFormat="1" applyFont="1" applyFill="1" applyBorder="1"/>
    <xf numFmtId="0" fontId="2" fillId="2" borderId="7" xfId="0" applyFont="1" applyFill="1" applyBorder="1" applyAlignment="1">
      <alignment horizontal="center" vertical="center" wrapText="1"/>
    </xf>
    <xf numFmtId="1" fontId="1" fillId="2" borderId="6" xfId="0" applyNumberFormat="1" applyFont="1" applyFill="1" applyBorder="1" applyAlignment="1">
      <alignment horizontal="right"/>
    </xf>
    <xf numFmtId="0" fontId="38" fillId="0" borderId="3" xfId="0" applyFont="1" applyBorder="1" applyAlignment="1">
      <alignment horizontal="center" vertical="center"/>
    </xf>
    <xf numFmtId="0" fontId="39" fillId="2" borderId="3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41" fillId="0" borderId="3" xfId="0" applyFont="1" applyBorder="1" applyAlignment="1">
      <alignment horizontal="left" vertical="center" wrapText="1"/>
    </xf>
    <xf numFmtId="0" fontId="43" fillId="0" borderId="0" xfId="0" applyFont="1" applyAlignment="1" applyProtection="1">
      <alignment horizontal="center" vertical="center" wrapText="1"/>
      <protection locked="0"/>
    </xf>
    <xf numFmtId="0" fontId="41" fillId="0" borderId="38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8" fillId="0" borderId="0" xfId="0" applyFont="1" applyAlignment="1" applyProtection="1">
      <alignment vertical="top" wrapText="1"/>
      <protection locked="0"/>
    </xf>
    <xf numFmtId="0" fontId="40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43" fillId="0" borderId="0" xfId="0" applyFont="1" applyAlignment="1" applyProtection="1">
      <alignment horizontal="center" vertical="center" wrapText="1"/>
      <protection locked="0"/>
    </xf>
    <xf numFmtId="0" fontId="45" fillId="0" borderId="1" xfId="0" applyFont="1" applyBorder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36" fillId="0" borderId="0" xfId="0" applyFont="1" applyAlignment="1">
      <alignment horizontal="center" vertical="center"/>
    </xf>
    <xf numFmtId="0" fontId="37" fillId="2" borderId="35" xfId="0" applyFont="1" applyFill="1" applyBorder="1" applyAlignment="1">
      <alignment horizontal="center" vertical="center" wrapText="1"/>
    </xf>
    <xf numFmtId="0" fontId="37" fillId="2" borderId="36" xfId="0" applyFont="1" applyFill="1" applyBorder="1" applyAlignment="1">
      <alignment horizontal="center" vertical="center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_Sheet3" xfId="1" xr:uid="{3CA75F9E-DFAD-4025-8890-A7DE173A6CD9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EE6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67EB8-49BB-4BBC-9D4E-46A32010BEBE}">
  <dimension ref="B3:Z16"/>
  <sheetViews>
    <sheetView showGridLines="0" tabSelected="1" zoomScaleNormal="100" workbookViewId="0">
      <selection activeCell="M13" sqref="M13"/>
    </sheetView>
  </sheetViews>
  <sheetFormatPr defaultRowHeight="14.4" x14ac:dyDescent="0.3"/>
  <cols>
    <col min="1" max="1" width="5.6640625" customWidth="1"/>
    <col min="2" max="2" width="27.44140625" style="25" customWidth="1"/>
    <col min="3" max="3" width="4.33203125" style="25" customWidth="1"/>
    <col min="4" max="4" width="3.77734375" style="25" customWidth="1"/>
    <col min="5" max="5" width="32.33203125" style="25" customWidth="1"/>
    <col min="6" max="6" width="14.21875" style="23" customWidth="1"/>
  </cols>
  <sheetData>
    <row r="3" spans="2:26" ht="23.4" x14ac:dyDescent="0.3">
      <c r="B3" s="82" t="s">
        <v>145</v>
      </c>
      <c r="C3" s="82"/>
      <c r="D3" s="82"/>
      <c r="E3" s="82"/>
      <c r="F3" s="82"/>
      <c r="G3" s="82"/>
      <c r="H3" s="77"/>
      <c r="I3" s="77"/>
      <c r="J3" s="77"/>
      <c r="K3" s="77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2:26" ht="12" customHeight="1" x14ac:dyDescent="0.3">
      <c r="B4" s="74"/>
      <c r="C4" s="74"/>
      <c r="D4" s="74"/>
      <c r="E4" s="74"/>
      <c r="F4" s="74"/>
      <c r="G4" s="74"/>
      <c r="H4" s="77"/>
      <c r="I4" s="77"/>
      <c r="J4" s="77"/>
      <c r="K4" s="77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2:26" ht="15" customHeight="1" x14ac:dyDescent="0.3">
      <c r="B5" s="74"/>
      <c r="C5" s="74"/>
      <c r="D5" s="74"/>
      <c r="E5" s="74"/>
      <c r="F5" s="74"/>
      <c r="G5" s="74"/>
      <c r="H5" s="77"/>
      <c r="I5" s="77"/>
      <c r="J5" s="77"/>
      <c r="K5" s="77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2:26" ht="15" customHeight="1" x14ac:dyDescent="0.3">
      <c r="B6" s="19" t="s">
        <v>140</v>
      </c>
      <c r="C6" s="19"/>
      <c r="D6" s="19"/>
    </row>
    <row r="7" spans="2:26" ht="15" customHeight="1" thickBot="1" x14ac:dyDescent="0.35">
      <c r="B7" s="19"/>
      <c r="C7" s="19"/>
      <c r="D7" s="19"/>
    </row>
    <row r="8" spans="2:26" ht="71.400000000000006" customHeight="1" thickBot="1" x14ac:dyDescent="0.35">
      <c r="B8" s="73" t="s">
        <v>163</v>
      </c>
      <c r="C8" s="75"/>
      <c r="D8" s="76"/>
      <c r="E8" s="30" t="s">
        <v>119</v>
      </c>
      <c r="F8" s="31">
        <v>75000</v>
      </c>
    </row>
    <row r="9" spans="2:26" ht="66.599999999999994" customHeight="1" thickBot="1" x14ac:dyDescent="0.35">
      <c r="B9" s="73" t="s">
        <v>164</v>
      </c>
      <c r="C9" s="75"/>
      <c r="D9" s="76"/>
      <c r="E9" s="20" t="s">
        <v>155</v>
      </c>
      <c r="F9" s="14">
        <v>3</v>
      </c>
    </row>
    <row r="10" spans="2:26" ht="60.6" customHeight="1" thickBot="1" x14ac:dyDescent="0.35">
      <c r="D10" s="27"/>
      <c r="E10" s="69" t="s">
        <v>154</v>
      </c>
      <c r="F10" s="70">
        <f>'Table 13B'!O4</f>
        <v>2</v>
      </c>
    </row>
    <row r="11" spans="2:26" ht="30.45" customHeight="1" x14ac:dyDescent="0.35">
      <c r="E11" s="83" t="s">
        <v>161</v>
      </c>
      <c r="F11" s="71" t="str" cm="1">
        <f t="array" ref="F11:F12">_xlfn._xlws.FILTER('Table 13B'!A5:A104, 'Table 13B'!M5:M104, " ")</f>
        <v>Harnett</v>
      </c>
    </row>
    <row r="12" spans="2:26" ht="18" x14ac:dyDescent="0.35">
      <c r="E12" s="84"/>
      <c r="F12" s="72" t="str">
        <v>Nash</v>
      </c>
    </row>
    <row r="13" spans="2:26" ht="18" x14ac:dyDescent="0.35">
      <c r="E13" s="84"/>
      <c r="F13" s="72"/>
    </row>
    <row r="14" spans="2:26" x14ac:dyDescent="0.3">
      <c r="F14" s="78"/>
    </row>
    <row r="15" spans="2:26" x14ac:dyDescent="0.3">
      <c r="F15" s="78"/>
    </row>
    <row r="16" spans="2:26" x14ac:dyDescent="0.3">
      <c r="F16" s="78"/>
    </row>
  </sheetData>
  <sheetProtection algorithmName="SHA-512" hashValue="1pvuFTOGK6efqB5Glmv9k9uPvrmQ5/nlvnbH62wKGnM3cdOl9WA+Mjvmpv7R2DVa8BGc3SOsY1a7N+IE+triag==" saltValue="gJSTmYdraXvEeCl5PqNHXA==" spinCount="100000" sheet="1" objects="1" scenarios="1"/>
  <mergeCells count="2">
    <mergeCell ref="B3:G3"/>
    <mergeCell ref="E11:E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C1FED-B85A-41F7-9929-97BBAB674964}">
  <dimension ref="A1:P106"/>
  <sheetViews>
    <sheetView workbookViewId="0">
      <selection activeCell="J113" sqref="J113"/>
    </sheetView>
  </sheetViews>
  <sheetFormatPr defaultRowHeight="14.4" x14ac:dyDescent="0.3"/>
  <cols>
    <col min="1" max="1" width="16.33203125" customWidth="1"/>
    <col min="2" max="2" width="9.44140625" customWidth="1"/>
    <col min="3" max="3" width="11" customWidth="1"/>
    <col min="4" max="4" width="10.88671875" customWidth="1"/>
    <col min="5" max="5" width="10.77734375" customWidth="1"/>
    <col min="6" max="6" width="13.88671875" customWidth="1"/>
    <col min="7" max="7" width="11.6640625" customWidth="1"/>
    <col min="8" max="8" width="10.77734375" customWidth="1"/>
    <col min="9" max="9" width="12.5546875" customWidth="1"/>
    <col min="10" max="10" width="12.44140625" customWidth="1"/>
    <col min="11" max="11" width="11.109375" style="32" customWidth="1"/>
    <col min="12" max="12" width="10.5546875" customWidth="1"/>
    <col min="13" max="13" width="14.33203125" style="32" customWidth="1"/>
    <col min="14" max="14" width="5.33203125" customWidth="1"/>
    <col min="15" max="15" width="12.5546875" customWidth="1"/>
    <col min="16" max="16" width="20.44140625" customWidth="1"/>
  </cols>
  <sheetData>
    <row r="1" spans="1:16" s="3" customFormat="1" ht="26.4" customHeight="1" thickBot="1" x14ac:dyDescent="0.35">
      <c r="A1" s="85" t="s">
        <v>120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O1"/>
    </row>
    <row r="2" spans="1:16" s="7" customFormat="1" ht="15" customHeight="1" thickBot="1" x14ac:dyDescent="0.3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6" t="s">
        <v>12</v>
      </c>
      <c r="O2" s="86" t="s">
        <v>157</v>
      </c>
    </row>
    <row r="3" spans="1:16" s="2" customFormat="1" ht="127.8" customHeight="1" thickBot="1" x14ac:dyDescent="0.35">
      <c r="A3" s="8" t="s">
        <v>147</v>
      </c>
      <c r="B3" s="9" t="s">
        <v>146</v>
      </c>
      <c r="C3" s="9" t="s">
        <v>148</v>
      </c>
      <c r="D3" s="9" t="s">
        <v>121</v>
      </c>
      <c r="E3" s="9" t="s">
        <v>122</v>
      </c>
      <c r="F3" s="9" t="s">
        <v>123</v>
      </c>
      <c r="G3" s="9" t="s">
        <v>124</v>
      </c>
      <c r="H3" s="9" t="s">
        <v>125</v>
      </c>
      <c r="I3" s="9" t="s">
        <v>126</v>
      </c>
      <c r="J3" s="9" t="s">
        <v>127</v>
      </c>
      <c r="K3" s="9" t="s">
        <v>128</v>
      </c>
      <c r="L3" s="9" t="s">
        <v>156</v>
      </c>
      <c r="M3" s="10" t="s">
        <v>149</v>
      </c>
      <c r="N3" s="11"/>
      <c r="O3" s="87"/>
    </row>
    <row r="4" spans="1:16" s="2" customFormat="1" ht="115.8" customHeight="1" thickBot="1" x14ac:dyDescent="0.35">
      <c r="A4" s="36" t="s">
        <v>129</v>
      </c>
      <c r="B4" s="37" t="s">
        <v>130</v>
      </c>
      <c r="C4" s="37" t="s">
        <v>131</v>
      </c>
      <c r="D4" s="37" t="s">
        <v>132</v>
      </c>
      <c r="E4" s="37" t="s">
        <v>133</v>
      </c>
      <c r="F4" s="37" t="s">
        <v>134</v>
      </c>
      <c r="G4" s="37" t="s">
        <v>135</v>
      </c>
      <c r="H4" s="37" t="s">
        <v>136</v>
      </c>
      <c r="I4" s="37" t="s">
        <v>137</v>
      </c>
      <c r="J4" s="37" t="s">
        <v>138</v>
      </c>
      <c r="K4" s="37" t="s">
        <v>139</v>
      </c>
      <c r="L4" s="37" t="str">
        <f>"Col. K/(Col. C/" &amp; 'Run Model'!$F$8 &amp; ")"</f>
        <v>Col. K/(Col. C/75000)</v>
      </c>
      <c r="M4" s="38" t="str">
        <f>"IF(Column L &lt;=" &amp; 'Run Model'!$F$9 &amp; " And Column J &lt;= -150)"</f>
        <v>IF(Column L &lt;=3 And Column J &lt;= -150)</v>
      </c>
      <c r="N4" s="12"/>
      <c r="O4" s="68">
        <f>M105</f>
        <v>2</v>
      </c>
      <c r="P4" s="79" t="s">
        <v>162</v>
      </c>
    </row>
    <row r="5" spans="1:16" ht="15.6" x14ac:dyDescent="0.3">
      <c r="A5" s="45" t="s">
        <v>13</v>
      </c>
      <c r="B5" s="46">
        <v>10.4</v>
      </c>
      <c r="C5" s="47">
        <v>189311</v>
      </c>
      <c r="D5" s="48">
        <f t="shared" ref="D5:D68" si="0">B5*C5/1000</f>
        <v>1968.8344000000002</v>
      </c>
      <c r="E5" s="47">
        <v>1036</v>
      </c>
      <c r="F5" s="48">
        <f t="shared" ref="F5:F68" si="1">E5*(0.0270072483110412+1)^3</f>
        <v>1122.2258844276828</v>
      </c>
      <c r="G5" s="48">
        <f t="shared" ref="G5:G68" si="2">D5*0.6</f>
        <v>1181.3006400000002</v>
      </c>
      <c r="H5" s="48">
        <f t="shared" ref="H5:H68" si="3">IF(F5&lt;G5, F5, G5)</f>
        <v>1122.2258844276828</v>
      </c>
      <c r="I5" s="48">
        <f t="shared" ref="I5:I68" si="4">D5 *(0.424123 * (1+ 0.06661086712)^3)</f>
        <v>1013.255631244594</v>
      </c>
      <c r="J5" s="49">
        <f t="shared" ref="J5:J69" si="5">(H5-I5)</f>
        <v>108.97025318308874</v>
      </c>
      <c r="K5" s="50">
        <v>5</v>
      </c>
      <c r="L5" s="51">
        <f>K5/(C5/'Run Model'!$F$8)</f>
        <v>1.9808674614787307</v>
      </c>
      <c r="M5" s="52">
        <f>IF(AND(L5&lt;='Run Model'!$F$9, J5&lt;=-150), 1, 0)</f>
        <v>0</v>
      </c>
      <c r="N5" s="35"/>
    </row>
    <row r="6" spans="1:16" x14ac:dyDescent="0.3">
      <c r="A6" s="53" t="s">
        <v>14</v>
      </c>
      <c r="B6" s="39">
        <v>11.65</v>
      </c>
      <c r="C6" s="40">
        <v>36692</v>
      </c>
      <c r="D6" s="41">
        <f>B6*C6/1000</f>
        <v>427.46179999999998</v>
      </c>
      <c r="E6" s="40">
        <v>185</v>
      </c>
      <c r="F6" s="41">
        <f t="shared" si="1"/>
        <v>200.39747936208619</v>
      </c>
      <c r="G6" s="41">
        <f t="shared" si="2"/>
        <v>256.47708</v>
      </c>
      <c r="H6" s="41">
        <f t="shared" si="3"/>
        <v>200.39747936208619</v>
      </c>
      <c r="I6" s="41">
        <f t="shared" si="4"/>
        <v>219.99213138085679</v>
      </c>
      <c r="J6" s="42">
        <f t="shared" si="5"/>
        <v>-19.594652018770603</v>
      </c>
      <c r="K6" s="43">
        <v>1</v>
      </c>
      <c r="L6" s="44">
        <f>K6/(C6/'Run Model'!$F$8)</f>
        <v>2.044042298048621</v>
      </c>
      <c r="M6" s="54">
        <f>IF(AND(L6&lt;='Run Model'!$F$9, J6&lt;=-150), 1, 0)</f>
        <v>0</v>
      </c>
      <c r="N6" s="1"/>
    </row>
    <row r="7" spans="1:16" x14ac:dyDescent="0.3">
      <c r="A7" s="53" t="s">
        <v>15</v>
      </c>
      <c r="B7" s="39">
        <v>14.26</v>
      </c>
      <c r="C7" s="40">
        <v>11713</v>
      </c>
      <c r="D7" s="41">
        <f t="shared" si="0"/>
        <v>167.02737999999999</v>
      </c>
      <c r="E7" s="40">
        <v>92</v>
      </c>
      <c r="F7" s="41">
        <f t="shared" si="1"/>
        <v>99.65712487195637</v>
      </c>
      <c r="G7" s="41">
        <f t="shared" si="2"/>
        <v>100.21642799999999</v>
      </c>
      <c r="H7" s="41">
        <f t="shared" si="3"/>
        <v>99.65712487195637</v>
      </c>
      <c r="I7" s="41">
        <f t="shared" si="4"/>
        <v>85.960217556657213</v>
      </c>
      <c r="J7" s="42">
        <f t="shared" si="5"/>
        <v>13.696907315299157</v>
      </c>
      <c r="K7" s="43">
        <v>1</v>
      </c>
      <c r="L7" s="44">
        <f>K7/(C7/'Run Model'!$F$8)</f>
        <v>6.4031418082472467</v>
      </c>
      <c r="M7" s="54">
        <f>IF(AND(L7&lt;='Run Model'!$F$9, J7&lt;=-150), 1, 0)</f>
        <v>0</v>
      </c>
      <c r="N7" s="1"/>
    </row>
    <row r="8" spans="1:16" x14ac:dyDescent="0.3">
      <c r="A8" s="53" t="s">
        <v>16</v>
      </c>
      <c r="B8" s="39">
        <v>13.2</v>
      </c>
      <c r="C8" s="40">
        <v>21328</v>
      </c>
      <c r="D8" s="41">
        <f t="shared" si="0"/>
        <v>281.52959999999996</v>
      </c>
      <c r="E8" s="40">
        <v>98</v>
      </c>
      <c r="F8" s="41">
        <f t="shared" si="1"/>
        <v>106.15650258099701</v>
      </c>
      <c r="G8" s="41">
        <f t="shared" si="2"/>
        <v>168.91775999999996</v>
      </c>
      <c r="H8" s="41">
        <f t="shared" si="3"/>
        <v>106.15650258099701</v>
      </c>
      <c r="I8" s="41">
        <f t="shared" si="4"/>
        <v>144.88849471648706</v>
      </c>
      <c r="J8" s="42">
        <f t="shared" si="5"/>
        <v>-38.731992135490046</v>
      </c>
      <c r="K8" s="43">
        <v>3</v>
      </c>
      <c r="L8" s="44">
        <f>K8/(C8/'Run Model'!$F$8)</f>
        <v>10.549512378094525</v>
      </c>
      <c r="M8" s="54">
        <f>IF(AND(L8&lt;='Run Model'!$F$9, J8&lt;=-150), 1, 0)</f>
        <v>0</v>
      </c>
      <c r="N8" s="1"/>
    </row>
    <row r="9" spans="1:16" x14ac:dyDescent="0.3">
      <c r="A9" s="53" t="s">
        <v>17</v>
      </c>
      <c r="B9" s="39">
        <v>13.85</v>
      </c>
      <c r="C9" s="40">
        <v>26577</v>
      </c>
      <c r="D9" s="41">
        <f t="shared" si="0"/>
        <v>368.09145000000001</v>
      </c>
      <c r="E9" s="40">
        <v>180</v>
      </c>
      <c r="F9" s="41">
        <f t="shared" si="1"/>
        <v>194.98133127121901</v>
      </c>
      <c r="G9" s="41">
        <f t="shared" si="2"/>
        <v>220.85487000000001</v>
      </c>
      <c r="H9" s="41">
        <f t="shared" si="3"/>
        <v>194.98133127121901</v>
      </c>
      <c r="I9" s="41">
        <f t="shared" si="4"/>
        <v>189.43733130906688</v>
      </c>
      <c r="J9" s="42">
        <f t="shared" si="5"/>
        <v>5.5439999621521281</v>
      </c>
      <c r="K9" s="43">
        <v>1</v>
      </c>
      <c r="L9" s="44">
        <f>K9/(C9/'Run Model'!$F$8)</f>
        <v>2.8219889378033636</v>
      </c>
      <c r="M9" s="54">
        <f>IF(AND(L9&lt;='Run Model'!$F$9, J9&lt;=-150), 1, 0)</f>
        <v>0</v>
      </c>
      <c r="N9" s="1"/>
    </row>
    <row r="10" spans="1:16" x14ac:dyDescent="0.3">
      <c r="A10" s="53" t="s">
        <v>18</v>
      </c>
      <c r="B10" s="39">
        <v>13.31</v>
      </c>
      <c r="C10" s="40">
        <v>17559</v>
      </c>
      <c r="D10" s="41">
        <f t="shared" si="0"/>
        <v>233.71029000000001</v>
      </c>
      <c r="E10" s="40">
        <v>118</v>
      </c>
      <c r="F10" s="41">
        <f t="shared" si="1"/>
        <v>127.82109494446578</v>
      </c>
      <c r="G10" s="41">
        <f t="shared" si="2"/>
        <v>140.22617400000001</v>
      </c>
      <c r="H10" s="41">
        <f t="shared" si="3"/>
        <v>127.82109494446578</v>
      </c>
      <c r="I10" s="41">
        <f t="shared" si="4"/>
        <v>120.27840808871845</v>
      </c>
      <c r="J10" s="42">
        <f t="shared" si="5"/>
        <v>7.5426868557473341</v>
      </c>
      <c r="K10" s="43">
        <v>1</v>
      </c>
      <c r="L10" s="44">
        <f>K10/(C10/'Run Model'!$F$8)</f>
        <v>4.2713138561421493</v>
      </c>
      <c r="M10" s="54">
        <f>IF(AND(L10&lt;='Run Model'!$F$9, J10&lt;=-150), 1, 0)</f>
        <v>0</v>
      </c>
      <c r="N10" s="1"/>
    </row>
    <row r="11" spans="1:16" x14ac:dyDescent="0.3">
      <c r="A11" s="53" t="s">
        <v>19</v>
      </c>
      <c r="B11" s="39">
        <v>13.22</v>
      </c>
      <c r="C11" s="40">
        <v>43858</v>
      </c>
      <c r="D11" s="41">
        <f t="shared" si="0"/>
        <v>579.80276000000003</v>
      </c>
      <c r="E11" s="40">
        <v>321</v>
      </c>
      <c r="F11" s="41">
        <f t="shared" si="1"/>
        <v>347.71670743367389</v>
      </c>
      <c r="G11" s="41">
        <f t="shared" si="2"/>
        <v>347.88165600000002</v>
      </c>
      <c r="H11" s="41">
        <f t="shared" si="3"/>
        <v>347.71670743367389</v>
      </c>
      <c r="I11" s="41">
        <f t="shared" si="4"/>
        <v>298.3940201274205</v>
      </c>
      <c r="J11" s="42">
        <f t="shared" si="5"/>
        <v>49.322687306253385</v>
      </c>
      <c r="K11" s="43">
        <v>2</v>
      </c>
      <c r="L11" s="44">
        <f>K11/(C11/'Run Model'!$F$8)</f>
        <v>3.4201285968352408</v>
      </c>
      <c r="M11" s="54">
        <f>IF(AND(L11&lt;='Run Model'!$F$9, J11&lt;=-150), 1, 0)</f>
        <v>0</v>
      </c>
      <c r="N11" s="1"/>
    </row>
    <row r="12" spans="1:16" x14ac:dyDescent="0.3">
      <c r="A12" s="53" t="s">
        <v>20</v>
      </c>
      <c r="B12" s="39">
        <v>14.69</v>
      </c>
      <c r="C12" s="40">
        <v>16306</v>
      </c>
      <c r="D12" s="41">
        <f t="shared" si="0"/>
        <v>239.53513999999998</v>
      </c>
      <c r="E12" s="40">
        <v>109</v>
      </c>
      <c r="F12" s="41">
        <f t="shared" si="1"/>
        <v>118.07202838090484</v>
      </c>
      <c r="G12" s="41">
        <f t="shared" si="2"/>
        <v>143.72108399999999</v>
      </c>
      <c r="H12" s="41">
        <f t="shared" si="3"/>
        <v>118.07202838090484</v>
      </c>
      <c r="I12" s="41">
        <f t="shared" si="4"/>
        <v>123.27615237013441</v>
      </c>
      <c r="J12" s="42">
        <f t="shared" si="5"/>
        <v>-5.2041239892295721</v>
      </c>
      <c r="K12" s="43">
        <v>0</v>
      </c>
      <c r="L12" s="44">
        <f>K12/(C12/'Run Model'!$F$8)</f>
        <v>0</v>
      </c>
      <c r="M12" s="54">
        <f>IF(AND(L12&lt;='Run Model'!$F$9, J12&lt;=-150), 1, 0)</f>
        <v>0</v>
      </c>
      <c r="N12" s="1"/>
    </row>
    <row r="13" spans="1:16" x14ac:dyDescent="0.3">
      <c r="A13" s="53" t="s">
        <v>21</v>
      </c>
      <c r="B13" s="39">
        <v>13.96</v>
      </c>
      <c r="C13" s="40">
        <v>30482</v>
      </c>
      <c r="D13" s="41">
        <f t="shared" si="0"/>
        <v>425.52872000000002</v>
      </c>
      <c r="E13" s="40">
        <v>197</v>
      </c>
      <c r="F13" s="41">
        <f t="shared" si="1"/>
        <v>213.39623478016745</v>
      </c>
      <c r="G13" s="41">
        <f t="shared" si="2"/>
        <v>255.31723199999999</v>
      </c>
      <c r="H13" s="41">
        <f t="shared" si="3"/>
        <v>213.39623478016745</v>
      </c>
      <c r="I13" s="41">
        <f t="shared" si="4"/>
        <v>218.99727666090357</v>
      </c>
      <c r="J13" s="42">
        <f t="shared" si="5"/>
        <v>-5.6010418807361191</v>
      </c>
      <c r="K13" s="43">
        <v>3</v>
      </c>
      <c r="L13" s="44">
        <f>K13/(C13/'Run Model'!$F$8)</f>
        <v>7.3814054195918901</v>
      </c>
      <c r="M13" s="54">
        <f>IF(AND(L13&lt;='Run Model'!$F$9, J13&lt;=-150), 1, 0)</f>
        <v>0</v>
      </c>
      <c r="N13" s="1"/>
    </row>
    <row r="14" spans="1:16" x14ac:dyDescent="0.3">
      <c r="A14" s="53" t="s">
        <v>22</v>
      </c>
      <c r="B14" s="39">
        <v>11.21</v>
      </c>
      <c r="C14" s="40">
        <v>186862</v>
      </c>
      <c r="D14" s="41">
        <f t="shared" si="0"/>
        <v>2094.7230200000004</v>
      </c>
      <c r="E14" s="40">
        <v>1126</v>
      </c>
      <c r="F14" s="41">
        <f t="shared" si="1"/>
        <v>1219.7165500632923</v>
      </c>
      <c r="G14" s="41">
        <f t="shared" si="2"/>
        <v>1256.8338120000001</v>
      </c>
      <c r="H14" s="41">
        <f t="shared" si="3"/>
        <v>1219.7165500632923</v>
      </c>
      <c r="I14" s="41">
        <f t="shared" si="4"/>
        <v>1078.0438902899516</v>
      </c>
      <c r="J14" s="42">
        <f t="shared" si="5"/>
        <v>141.67265977334068</v>
      </c>
      <c r="K14" s="43">
        <v>4</v>
      </c>
      <c r="L14" s="44">
        <f>K14/(C14/'Run Model'!$F$8)</f>
        <v>1.6054628549410797</v>
      </c>
      <c r="M14" s="54">
        <f>IF(AND(L14&lt;='Run Model'!$F$9, J14&lt;=-150), 1, 0)</f>
        <v>0</v>
      </c>
      <c r="N14" s="1"/>
    </row>
    <row r="15" spans="1:16" x14ac:dyDescent="0.3">
      <c r="A15" s="53" t="s">
        <v>23</v>
      </c>
      <c r="B15" s="39">
        <v>10.199999999999999</v>
      </c>
      <c r="C15" s="40">
        <v>288992</v>
      </c>
      <c r="D15" s="41">
        <f t="shared" si="0"/>
        <v>2947.7183999999997</v>
      </c>
      <c r="E15" s="40">
        <v>1805</v>
      </c>
      <c r="F15" s="41">
        <f t="shared" si="1"/>
        <v>1955.2294608030572</v>
      </c>
      <c r="G15" s="41">
        <f t="shared" si="2"/>
        <v>1768.6310399999998</v>
      </c>
      <c r="H15" s="41">
        <f t="shared" si="3"/>
        <v>1768.6310399999998</v>
      </c>
      <c r="I15" s="41">
        <f t="shared" si="4"/>
        <v>1517.0357995183872</v>
      </c>
      <c r="J15" s="42">
        <f t="shared" si="5"/>
        <v>251.59524048161256</v>
      </c>
      <c r="K15" s="43">
        <v>1</v>
      </c>
      <c r="L15" s="44">
        <f>K15/(C15/'Run Model'!$F$8)</f>
        <v>0.25952275495515448</v>
      </c>
      <c r="M15" s="54">
        <f>IF(AND(L15&lt;='Run Model'!$F$9, J15&lt;=-150), 1, 0)</f>
        <v>0</v>
      </c>
      <c r="N15" s="1"/>
    </row>
    <row r="16" spans="1:16" x14ac:dyDescent="0.3">
      <c r="A16" s="53" t="s">
        <v>24</v>
      </c>
      <c r="B16" s="39">
        <v>12.5</v>
      </c>
      <c r="C16" s="40">
        <v>91545</v>
      </c>
      <c r="D16" s="41">
        <f t="shared" si="0"/>
        <v>1144.3125</v>
      </c>
      <c r="E16" s="40">
        <v>526</v>
      </c>
      <c r="F16" s="41">
        <f t="shared" si="1"/>
        <v>569.77877915922886</v>
      </c>
      <c r="G16" s="41">
        <f t="shared" si="2"/>
        <v>686.58749999999998</v>
      </c>
      <c r="H16" s="41">
        <f t="shared" si="3"/>
        <v>569.77877915922886</v>
      </c>
      <c r="I16" s="41">
        <f t="shared" si="4"/>
        <v>588.91752629300845</v>
      </c>
      <c r="J16" s="42">
        <f t="shared" si="5"/>
        <v>-19.138747133779589</v>
      </c>
      <c r="K16" s="43">
        <v>2</v>
      </c>
      <c r="L16" s="44">
        <f>K16/(C16/'Run Model'!$F$8)</f>
        <v>1.6385384237260365</v>
      </c>
      <c r="M16" s="54">
        <f>IF(AND(L16&lt;='Run Model'!$F$9, J16&lt;=-150), 1, 0)</f>
        <v>0</v>
      </c>
      <c r="N16" s="1"/>
    </row>
    <row r="17" spans="1:14" x14ac:dyDescent="0.3">
      <c r="A17" s="53" t="s">
        <v>25</v>
      </c>
      <c r="B17" s="39">
        <v>7.38</v>
      </c>
      <c r="C17" s="40">
        <v>259508</v>
      </c>
      <c r="D17" s="41">
        <f t="shared" si="0"/>
        <v>1915.16904</v>
      </c>
      <c r="E17" s="40">
        <v>1053</v>
      </c>
      <c r="F17" s="41">
        <f t="shared" si="1"/>
        <v>1140.6407879366311</v>
      </c>
      <c r="G17" s="41">
        <f t="shared" si="2"/>
        <v>1149.101424</v>
      </c>
      <c r="H17" s="41">
        <f t="shared" si="3"/>
        <v>1140.6407879366311</v>
      </c>
      <c r="I17" s="41">
        <f t="shared" si="4"/>
        <v>985.63688980916982</v>
      </c>
      <c r="J17" s="42">
        <f t="shared" si="5"/>
        <v>155.0038981274613</v>
      </c>
      <c r="K17" s="43">
        <v>2</v>
      </c>
      <c r="L17" s="44">
        <f>K17/(C17/'Run Model'!$F$8)</f>
        <v>0.57801686267860719</v>
      </c>
      <c r="M17" s="54">
        <f>IF(AND(L17&lt;='Run Model'!$F$9, J17&lt;=-150), 1, 0)</f>
        <v>0</v>
      </c>
      <c r="N17" s="1"/>
    </row>
    <row r="18" spans="1:14" x14ac:dyDescent="0.3">
      <c r="A18" s="53" t="s">
        <v>26</v>
      </c>
      <c r="B18" s="39">
        <v>12.76</v>
      </c>
      <c r="C18" s="40">
        <v>82930</v>
      </c>
      <c r="D18" s="41">
        <f t="shared" si="0"/>
        <v>1058.1867999999999</v>
      </c>
      <c r="E18" s="40">
        <v>570</v>
      </c>
      <c r="F18" s="41">
        <f t="shared" si="1"/>
        <v>617.44088235886011</v>
      </c>
      <c r="G18" s="41">
        <f t="shared" si="2"/>
        <v>634.91207999999995</v>
      </c>
      <c r="H18" s="41">
        <f t="shared" si="3"/>
        <v>617.44088235886011</v>
      </c>
      <c r="I18" s="41">
        <f t="shared" si="4"/>
        <v>544.59315319190728</v>
      </c>
      <c r="J18" s="42">
        <f t="shared" si="5"/>
        <v>72.847729166952831</v>
      </c>
      <c r="K18" s="43">
        <v>2</v>
      </c>
      <c r="L18" s="44">
        <f>K18/(C18/'Run Model'!$F$8)</f>
        <v>1.8087543711563971</v>
      </c>
      <c r="M18" s="54">
        <f>IF(AND(L18&lt;='Run Model'!$F$9, J18&lt;=-150), 1, 0)</f>
        <v>0</v>
      </c>
      <c r="N18" s="1"/>
    </row>
    <row r="19" spans="1:14" x14ac:dyDescent="0.3">
      <c r="A19" s="53" t="s">
        <v>27</v>
      </c>
      <c r="B19" s="39">
        <v>8.34</v>
      </c>
      <c r="C19" s="40">
        <v>10860</v>
      </c>
      <c r="D19" s="41">
        <f t="shared" si="0"/>
        <v>90.572399999999988</v>
      </c>
      <c r="E19" s="40">
        <v>34</v>
      </c>
      <c r="F19" s="41">
        <f t="shared" si="1"/>
        <v>36.829807017896925</v>
      </c>
      <c r="G19" s="41">
        <f t="shared" si="2"/>
        <v>54.343439999999994</v>
      </c>
      <c r="H19" s="41">
        <f t="shared" si="3"/>
        <v>36.829807017896925</v>
      </c>
      <c r="I19" s="41">
        <f t="shared" si="4"/>
        <v>46.612855979831444</v>
      </c>
      <c r="J19" s="42">
        <f t="shared" si="5"/>
        <v>-9.7830489619345187</v>
      </c>
      <c r="K19" s="43">
        <v>0</v>
      </c>
      <c r="L19" s="44">
        <f>K19/(C19/'Run Model'!$F$8)</f>
        <v>0</v>
      </c>
      <c r="M19" s="54">
        <f>IF(AND(L19&lt;='Run Model'!$F$9, J19&lt;=-150), 1, 0)</f>
        <v>0</v>
      </c>
      <c r="N19" s="1"/>
    </row>
    <row r="20" spans="1:14" x14ac:dyDescent="0.3">
      <c r="A20" s="53" t="s">
        <v>28</v>
      </c>
      <c r="B20" s="39">
        <v>13.15</v>
      </c>
      <c r="C20" s="40">
        <v>72284</v>
      </c>
      <c r="D20" s="41">
        <f t="shared" si="0"/>
        <v>950.53459999999995</v>
      </c>
      <c r="E20" s="40">
        <v>466</v>
      </c>
      <c r="F20" s="41">
        <f t="shared" si="1"/>
        <v>504.78500206882251</v>
      </c>
      <c r="G20" s="41">
        <f t="shared" si="2"/>
        <v>570.32075999999995</v>
      </c>
      <c r="H20" s="41">
        <f t="shared" si="3"/>
        <v>504.78500206882251</v>
      </c>
      <c r="I20" s="41">
        <f t="shared" si="4"/>
        <v>489.1902214542917</v>
      </c>
      <c r="J20" s="42">
        <f t="shared" si="5"/>
        <v>15.594780614530805</v>
      </c>
      <c r="K20" s="43">
        <v>5</v>
      </c>
      <c r="L20" s="44">
        <f>K20/(C20/'Run Model'!$F$8)</f>
        <v>5.1878700680648553</v>
      </c>
      <c r="M20" s="54">
        <f>IF(AND(L20&lt;='Run Model'!$F$9, J20&lt;=-150), 1, 0)</f>
        <v>0</v>
      </c>
      <c r="N20" s="1"/>
    </row>
    <row r="21" spans="1:14" x14ac:dyDescent="0.3">
      <c r="A21" s="53" t="s">
        <v>29</v>
      </c>
      <c r="B21" s="39">
        <v>12.83</v>
      </c>
      <c r="C21" s="40">
        <v>22462</v>
      </c>
      <c r="D21" s="41">
        <f t="shared" si="0"/>
        <v>288.18746000000004</v>
      </c>
      <c r="E21" s="40">
        <v>94</v>
      </c>
      <c r="F21" s="41">
        <f t="shared" si="1"/>
        <v>101.82358410830325</v>
      </c>
      <c r="G21" s="41">
        <f t="shared" si="2"/>
        <v>172.91247600000003</v>
      </c>
      <c r="H21" s="41">
        <f t="shared" si="3"/>
        <v>101.82358410830325</v>
      </c>
      <c r="I21" s="41">
        <f t="shared" si="4"/>
        <v>148.31494548199493</v>
      </c>
      <c r="J21" s="42">
        <f t="shared" si="5"/>
        <v>-46.491361373691674</v>
      </c>
      <c r="K21" s="43">
        <v>0</v>
      </c>
      <c r="L21" s="44">
        <f>K21/(C21/'Run Model'!$F$8)</f>
        <v>0</v>
      </c>
      <c r="M21" s="54">
        <f>IF(AND(L21&lt;='Run Model'!$F$9, J21&lt;=-150), 1, 0)</f>
        <v>0</v>
      </c>
      <c r="N21" s="1"/>
    </row>
    <row r="22" spans="1:14" x14ac:dyDescent="0.3">
      <c r="A22" s="53" t="s">
        <v>30</v>
      </c>
      <c r="B22" s="39">
        <v>10.85</v>
      </c>
      <c r="C22" s="40">
        <v>173637</v>
      </c>
      <c r="D22" s="41">
        <f t="shared" si="0"/>
        <v>1883.96145</v>
      </c>
      <c r="E22" s="40">
        <v>1536</v>
      </c>
      <c r="F22" s="41">
        <f t="shared" si="1"/>
        <v>1663.8406935144021</v>
      </c>
      <c r="G22" s="41">
        <f t="shared" si="2"/>
        <v>1130.3768700000001</v>
      </c>
      <c r="H22" s="41">
        <f t="shared" si="3"/>
        <v>1130.3768700000001</v>
      </c>
      <c r="I22" s="41">
        <f t="shared" si="4"/>
        <v>969.57598275417706</v>
      </c>
      <c r="J22" s="42">
        <f t="shared" si="5"/>
        <v>160.80088724582299</v>
      </c>
      <c r="K22" s="43">
        <v>3</v>
      </c>
      <c r="L22" s="44">
        <f>K22/(C22/'Run Model'!$F$8)</f>
        <v>1.2958067692945627</v>
      </c>
      <c r="M22" s="54">
        <f>IF(AND(L22&lt;='Run Model'!$F$9, J22&lt;=-150), 1, 0)</f>
        <v>0</v>
      </c>
      <c r="N22" s="1"/>
    </row>
    <row r="23" spans="1:14" x14ac:dyDescent="0.3">
      <c r="A23" s="53" t="s">
        <v>31</v>
      </c>
      <c r="B23" s="39">
        <v>10.25</v>
      </c>
      <c r="C23" s="40">
        <v>86854</v>
      </c>
      <c r="D23" s="41">
        <f t="shared" si="0"/>
        <v>890.25350000000003</v>
      </c>
      <c r="E23" s="40">
        <v>397</v>
      </c>
      <c r="F23" s="41">
        <f t="shared" si="1"/>
        <v>430.04215841485524</v>
      </c>
      <c r="G23" s="41">
        <f t="shared" si="2"/>
        <v>534.15210000000002</v>
      </c>
      <c r="H23" s="41">
        <f t="shared" si="3"/>
        <v>430.04215841485524</v>
      </c>
      <c r="I23" s="41">
        <f t="shared" si="4"/>
        <v>458.1667062045488</v>
      </c>
      <c r="J23" s="42">
        <f t="shared" si="5"/>
        <v>-28.124547789693565</v>
      </c>
      <c r="K23" s="43">
        <v>3</v>
      </c>
      <c r="L23" s="44">
        <f>K23/(C23/'Run Model'!$F$8)</f>
        <v>2.5905542634766388</v>
      </c>
      <c r="M23" s="54">
        <f>IF(AND(L23&lt;='Run Model'!$F$9, J23&lt;=-150), 1, 0)</f>
        <v>0</v>
      </c>
      <c r="N23" s="1"/>
    </row>
    <row r="24" spans="1:14" x14ac:dyDescent="0.3">
      <c r="A24" s="53" t="s">
        <v>32</v>
      </c>
      <c r="B24" s="39">
        <v>13.67</v>
      </c>
      <c r="C24" s="40">
        <v>30612</v>
      </c>
      <c r="D24" s="41">
        <f t="shared" si="0"/>
        <v>418.46603999999996</v>
      </c>
      <c r="E24" s="40">
        <v>140</v>
      </c>
      <c r="F24" s="41">
        <f t="shared" si="1"/>
        <v>151.65214654428144</v>
      </c>
      <c r="G24" s="41">
        <f t="shared" si="2"/>
        <v>251.07962399999997</v>
      </c>
      <c r="H24" s="41">
        <f t="shared" si="3"/>
        <v>151.65214654428144</v>
      </c>
      <c r="I24" s="41">
        <f t="shared" si="4"/>
        <v>215.36248630896813</v>
      </c>
      <c r="J24" s="42">
        <f t="shared" si="5"/>
        <v>-63.710339764686694</v>
      </c>
      <c r="K24" s="43">
        <v>1</v>
      </c>
      <c r="L24" s="44">
        <f>K24/(C24/'Run Model'!$F$8)</f>
        <v>2.4500196001568013</v>
      </c>
      <c r="M24" s="54">
        <f>IF(AND(L24&lt;='Run Model'!$F$9, J24&lt;=-150), 1, 0)</f>
        <v>0</v>
      </c>
      <c r="N24" s="1"/>
    </row>
    <row r="25" spans="1:14" x14ac:dyDescent="0.3">
      <c r="A25" s="53" t="s">
        <v>33</v>
      </c>
      <c r="B25" s="39">
        <v>14.37</v>
      </c>
      <c r="C25" s="40">
        <v>13758</v>
      </c>
      <c r="D25" s="41">
        <f t="shared" si="0"/>
        <v>197.70246</v>
      </c>
      <c r="E25" s="40">
        <v>63</v>
      </c>
      <c r="F25" s="41">
        <f t="shared" si="1"/>
        <v>68.243465944926655</v>
      </c>
      <c r="G25" s="41">
        <f t="shared" si="2"/>
        <v>118.621476</v>
      </c>
      <c r="H25" s="41">
        <f t="shared" si="3"/>
        <v>68.243465944926655</v>
      </c>
      <c r="I25" s="41">
        <f t="shared" si="4"/>
        <v>101.74706969052811</v>
      </c>
      <c r="J25" s="42">
        <f t="shared" si="5"/>
        <v>-33.503603745601453</v>
      </c>
      <c r="K25" s="43">
        <v>1</v>
      </c>
      <c r="L25" s="44">
        <f>K25/(C25/'Run Model'!$F$8)</f>
        <v>5.4513737461840384</v>
      </c>
      <c r="M25" s="54">
        <f>IF(AND(L25&lt;='Run Model'!$F$9, J25&lt;=-150), 1, 0)</f>
        <v>0</v>
      </c>
      <c r="N25" s="1"/>
    </row>
    <row r="26" spans="1:14" x14ac:dyDescent="0.3">
      <c r="A26" s="53" t="s">
        <v>34</v>
      </c>
      <c r="B26" s="39">
        <v>12.97</v>
      </c>
      <c r="C26" s="40">
        <v>12415</v>
      </c>
      <c r="D26" s="41">
        <f t="shared" si="0"/>
        <v>161.02255000000002</v>
      </c>
      <c r="E26" s="40">
        <v>77</v>
      </c>
      <c r="F26" s="41">
        <f t="shared" si="1"/>
        <v>83.408680599354796</v>
      </c>
      <c r="G26" s="41">
        <f t="shared" si="2"/>
        <v>96.613530000000011</v>
      </c>
      <c r="H26" s="41">
        <f t="shared" si="3"/>
        <v>83.408680599354796</v>
      </c>
      <c r="I26" s="41">
        <f t="shared" si="4"/>
        <v>82.869847024647797</v>
      </c>
      <c r="J26" s="42">
        <f t="shared" si="5"/>
        <v>0.53883357470699877</v>
      </c>
      <c r="K26" s="43">
        <v>1</v>
      </c>
      <c r="L26" s="44">
        <f>K26/(C26/'Run Model'!$F$8)</f>
        <v>6.0410793395086584</v>
      </c>
      <c r="M26" s="54">
        <f>IF(AND(L26&lt;='Run Model'!$F$9, J26&lt;=-150), 1, 0)</f>
        <v>0</v>
      </c>
      <c r="N26" s="1"/>
    </row>
    <row r="27" spans="1:14" x14ac:dyDescent="0.3">
      <c r="A27" s="53" t="s">
        <v>35</v>
      </c>
      <c r="B27" s="39">
        <v>12.89</v>
      </c>
      <c r="C27" s="40">
        <v>103053</v>
      </c>
      <c r="D27" s="41">
        <f t="shared" si="0"/>
        <v>1328.3531700000001</v>
      </c>
      <c r="E27" s="40">
        <v>594</v>
      </c>
      <c r="F27" s="41">
        <f t="shared" si="1"/>
        <v>643.43839319502274</v>
      </c>
      <c r="G27" s="41">
        <f t="shared" si="2"/>
        <v>797.01190200000008</v>
      </c>
      <c r="H27" s="41">
        <f t="shared" si="3"/>
        <v>643.43839319502274</v>
      </c>
      <c r="I27" s="41">
        <f t="shared" si="4"/>
        <v>683.63359040461069</v>
      </c>
      <c r="J27" s="42">
        <f t="shared" si="5"/>
        <v>-40.195197209587946</v>
      </c>
      <c r="K27" s="43">
        <v>3</v>
      </c>
      <c r="L27" s="44">
        <f>K27/(C27/'Run Model'!$F$8)</f>
        <v>2.183342551890775</v>
      </c>
      <c r="M27" s="54">
        <f>IF(AND(L27&lt;='Run Model'!$F$9, J27&lt;=-150), 1, 0)</f>
        <v>0</v>
      </c>
      <c r="N27" s="1"/>
    </row>
    <row r="28" spans="1:14" x14ac:dyDescent="0.3">
      <c r="A28" s="53" t="s">
        <v>36</v>
      </c>
      <c r="B28" s="39">
        <v>13.26</v>
      </c>
      <c r="C28" s="40">
        <v>52799</v>
      </c>
      <c r="D28" s="41">
        <f t="shared" si="0"/>
        <v>700.11473999999998</v>
      </c>
      <c r="E28" s="40">
        <v>343</v>
      </c>
      <c r="F28" s="41">
        <f t="shared" si="1"/>
        <v>371.54775903348951</v>
      </c>
      <c r="G28" s="41">
        <f t="shared" si="2"/>
        <v>420.06884399999996</v>
      </c>
      <c r="H28" s="41">
        <f t="shared" si="3"/>
        <v>371.54775903348951</v>
      </c>
      <c r="I28" s="41">
        <f t="shared" si="4"/>
        <v>360.31227553843269</v>
      </c>
      <c r="J28" s="42">
        <f t="shared" si="5"/>
        <v>11.235483495056826</v>
      </c>
      <c r="K28" s="43">
        <v>4</v>
      </c>
      <c r="L28" s="44">
        <f>K28/(C28/'Run Model'!$F$8)</f>
        <v>5.6819257940491301</v>
      </c>
      <c r="M28" s="54">
        <f>IF(AND(L28&lt;='Run Model'!$F$9, J28&lt;=-150), 1, 0)</f>
        <v>0</v>
      </c>
      <c r="N28" s="1"/>
    </row>
    <row r="29" spans="1:14" x14ac:dyDescent="0.3">
      <c r="A29" s="53" t="s">
        <v>37</v>
      </c>
      <c r="B29" s="39">
        <v>11.3</v>
      </c>
      <c r="C29" s="40">
        <v>103336</v>
      </c>
      <c r="D29" s="41">
        <f t="shared" si="0"/>
        <v>1167.6967999999999</v>
      </c>
      <c r="E29" s="40">
        <v>457</v>
      </c>
      <c r="F29" s="41">
        <f t="shared" si="1"/>
        <v>495.03593550526159</v>
      </c>
      <c r="G29" s="41">
        <f t="shared" si="2"/>
        <v>700.61807999999996</v>
      </c>
      <c r="H29" s="41">
        <f t="shared" si="3"/>
        <v>495.03593550526159</v>
      </c>
      <c r="I29" s="41">
        <f t="shared" si="4"/>
        <v>600.95219698837661</v>
      </c>
      <c r="J29" s="42">
        <f t="shared" si="5"/>
        <v>-105.91626148311502</v>
      </c>
      <c r="K29" s="43">
        <v>4</v>
      </c>
      <c r="L29" s="44">
        <f>K29/(C29/'Run Model'!$F$8)</f>
        <v>2.9031508864287372</v>
      </c>
      <c r="M29" s="54">
        <f>IF(AND(L29&lt;='Run Model'!$F$9, J29&lt;=-150), 1, 0)</f>
        <v>0</v>
      </c>
      <c r="N29" s="1"/>
    </row>
    <row r="30" spans="1:14" x14ac:dyDescent="0.3">
      <c r="A30" s="53" t="s">
        <v>151</v>
      </c>
      <c r="B30" s="39">
        <v>8.34</v>
      </c>
      <c r="C30" s="40">
        <v>337971</v>
      </c>
      <c r="D30" s="41">
        <f t="shared" si="0"/>
        <v>2818.67814</v>
      </c>
      <c r="E30" s="40">
        <v>1145</v>
      </c>
      <c r="F30" s="41">
        <f t="shared" si="1"/>
        <v>1240.2979128085876</v>
      </c>
      <c r="G30" s="41">
        <f t="shared" si="2"/>
        <v>1691.2068839999999</v>
      </c>
      <c r="H30" s="41">
        <f t="shared" si="3"/>
        <v>1240.2979128085876</v>
      </c>
      <c r="I30" s="41">
        <f t="shared" si="4"/>
        <v>1450.625556939191</v>
      </c>
      <c r="J30" s="42">
        <f t="shared" si="5"/>
        <v>-210.3276441306034</v>
      </c>
      <c r="K30" s="43">
        <v>8</v>
      </c>
      <c r="L30" s="44">
        <f>K30/(C30/'Run Model'!$F$8)</f>
        <v>1.7753002476543844</v>
      </c>
      <c r="M30" s="54">
        <v>0</v>
      </c>
      <c r="N30" s="1"/>
    </row>
    <row r="31" spans="1:14" x14ac:dyDescent="0.3">
      <c r="A31" s="53" t="s">
        <v>39</v>
      </c>
      <c r="B31" s="39">
        <v>7.75</v>
      </c>
      <c r="C31" s="40">
        <v>34315</v>
      </c>
      <c r="D31" s="41">
        <f t="shared" si="0"/>
        <v>265.94125000000003</v>
      </c>
      <c r="E31" s="40">
        <v>136</v>
      </c>
      <c r="F31" s="41">
        <f t="shared" si="1"/>
        <v>147.3192280715877</v>
      </c>
      <c r="G31" s="41">
        <f t="shared" si="2"/>
        <v>159.56475</v>
      </c>
      <c r="H31" s="41">
        <f t="shared" si="3"/>
        <v>147.3192280715877</v>
      </c>
      <c r="I31" s="41">
        <f t="shared" si="4"/>
        <v>136.86598991907414</v>
      </c>
      <c r="J31" s="42">
        <f t="shared" si="5"/>
        <v>10.453238152513563</v>
      </c>
      <c r="K31" s="43">
        <v>0</v>
      </c>
      <c r="L31" s="44">
        <f>K31/(C31/'Run Model'!$F$8)</f>
        <v>0</v>
      </c>
      <c r="M31" s="54">
        <f>IF(AND(L31&lt;='Run Model'!$F$9, J31&lt;=-150), 1, 0)</f>
        <v>0</v>
      </c>
      <c r="N31" s="1"/>
    </row>
    <row r="32" spans="1:14" x14ac:dyDescent="0.3">
      <c r="A32" s="53" t="s">
        <v>40</v>
      </c>
      <c r="B32" s="39">
        <v>9.66</v>
      </c>
      <c r="C32" s="40">
        <v>38709</v>
      </c>
      <c r="D32" s="41">
        <f t="shared" si="0"/>
        <v>373.92894000000001</v>
      </c>
      <c r="E32" s="40">
        <v>121</v>
      </c>
      <c r="F32" s="41">
        <f t="shared" si="1"/>
        <v>131.0707837989861</v>
      </c>
      <c r="G32" s="41">
        <f t="shared" si="2"/>
        <v>224.35736399999999</v>
      </c>
      <c r="H32" s="41">
        <f t="shared" si="3"/>
        <v>131.0707837989861</v>
      </c>
      <c r="I32" s="41">
        <f t="shared" si="4"/>
        <v>192.44158073442941</v>
      </c>
      <c r="J32" s="42">
        <f t="shared" si="5"/>
        <v>-61.370796935443309</v>
      </c>
      <c r="K32" s="43">
        <v>1</v>
      </c>
      <c r="L32" s="44">
        <f>K32/(C32/'Run Model'!$F$8)</f>
        <v>1.9375339068433697</v>
      </c>
      <c r="M32" s="54">
        <f>IF(AND(L32&lt;='Run Model'!$F$9, J32&lt;=-150), 1, 0)</f>
        <v>0</v>
      </c>
      <c r="N32" s="1"/>
    </row>
    <row r="33" spans="1:14" x14ac:dyDescent="0.3">
      <c r="A33" s="53" t="s">
        <v>41</v>
      </c>
      <c r="B33" s="39">
        <v>11.28</v>
      </c>
      <c r="C33" s="40">
        <v>183817</v>
      </c>
      <c r="D33" s="41">
        <f t="shared" si="0"/>
        <v>2073.4557599999998</v>
      </c>
      <c r="E33" s="40">
        <v>1065</v>
      </c>
      <c r="F33" s="41">
        <f t="shared" si="1"/>
        <v>1153.6395433547125</v>
      </c>
      <c r="G33" s="41">
        <f t="shared" si="2"/>
        <v>1244.0734559999999</v>
      </c>
      <c r="H33" s="41">
        <f t="shared" si="3"/>
        <v>1153.6395433547125</v>
      </c>
      <c r="I33" s="41">
        <f t="shared" si="4"/>
        <v>1067.0987488620369</v>
      </c>
      <c r="J33" s="42">
        <f t="shared" si="5"/>
        <v>86.540794492675559</v>
      </c>
      <c r="K33" s="43">
        <v>3</v>
      </c>
      <c r="L33" s="44">
        <f>K33/(C33/'Run Model'!$F$8)</f>
        <v>1.2240434780243394</v>
      </c>
      <c r="M33" s="54">
        <f>IF(AND(L33&lt;='Run Model'!$F$9, J33&lt;=-150), 1, 0)</f>
        <v>0</v>
      </c>
      <c r="N33" s="1"/>
    </row>
    <row r="34" spans="1:14" x14ac:dyDescent="0.3">
      <c r="A34" s="53" t="s">
        <v>42</v>
      </c>
      <c r="B34" s="39">
        <v>11.4</v>
      </c>
      <c r="C34" s="40">
        <v>46497</v>
      </c>
      <c r="D34" s="41">
        <f t="shared" si="0"/>
        <v>530.06580000000008</v>
      </c>
      <c r="E34" s="40">
        <v>339</v>
      </c>
      <c r="F34" s="41">
        <f t="shared" si="1"/>
        <v>367.21484056079578</v>
      </c>
      <c r="G34" s="41">
        <f t="shared" si="2"/>
        <v>318.03948000000003</v>
      </c>
      <c r="H34" s="41">
        <f t="shared" si="3"/>
        <v>318.03948000000003</v>
      </c>
      <c r="I34" s="41">
        <f t="shared" si="4"/>
        <v>272.79701979007007</v>
      </c>
      <c r="J34" s="42">
        <f t="shared" si="5"/>
        <v>45.242460209929959</v>
      </c>
      <c r="K34" s="43">
        <v>2</v>
      </c>
      <c r="L34" s="44">
        <f>K34/(C34/'Run Model'!$F$8)</f>
        <v>3.2260145815859089</v>
      </c>
      <c r="M34" s="54">
        <f>IF(AND(L34&lt;='Run Model'!$F$9, J34&lt;=-150), 1, 0)</f>
        <v>0</v>
      </c>
      <c r="N34" s="1"/>
    </row>
    <row r="35" spans="1:14" x14ac:dyDescent="0.3">
      <c r="A35" s="53" t="s">
        <v>43</v>
      </c>
      <c r="B35" s="39">
        <v>10.32</v>
      </c>
      <c r="C35" s="40">
        <v>51533</v>
      </c>
      <c r="D35" s="41">
        <f t="shared" si="0"/>
        <v>531.82056</v>
      </c>
      <c r="E35" s="40">
        <v>320</v>
      </c>
      <c r="F35" s="41">
        <f t="shared" si="1"/>
        <v>346.63347781550044</v>
      </c>
      <c r="G35" s="41">
        <f t="shared" si="2"/>
        <v>319.09233599999999</v>
      </c>
      <c r="H35" s="41">
        <f t="shared" si="3"/>
        <v>319.09233599999999</v>
      </c>
      <c r="I35" s="41">
        <f t="shared" si="4"/>
        <v>273.7001025742203</v>
      </c>
      <c r="J35" s="42">
        <f t="shared" si="5"/>
        <v>45.392233425779693</v>
      </c>
      <c r="K35" s="43">
        <v>2</v>
      </c>
      <c r="L35" s="44">
        <f>K35/(C35/'Run Model'!$F$8)</f>
        <v>2.9107562144645178</v>
      </c>
      <c r="M35" s="54">
        <f>IF(AND(L35&lt;='Run Model'!$F$9, J35&lt;=-150), 1, 0)</f>
        <v>0</v>
      </c>
      <c r="N35" s="1"/>
    </row>
    <row r="36" spans="1:14" x14ac:dyDescent="0.3">
      <c r="A36" s="53" t="s">
        <v>44</v>
      </c>
      <c r="B36" s="39">
        <v>6.56</v>
      </c>
      <c r="C36" s="40">
        <v>352541</v>
      </c>
      <c r="D36" s="41">
        <f t="shared" si="0"/>
        <v>2312.66896</v>
      </c>
      <c r="E36" s="40">
        <v>1301</v>
      </c>
      <c r="F36" s="41">
        <f t="shared" si="1"/>
        <v>1409.2817332436439</v>
      </c>
      <c r="G36" s="41">
        <f t="shared" si="2"/>
        <v>1387.6013759999998</v>
      </c>
      <c r="H36" s="41">
        <f t="shared" si="3"/>
        <v>1387.6013759999998</v>
      </c>
      <c r="I36" s="41">
        <f t="shared" si="4"/>
        <v>1190.2092156275705</v>
      </c>
      <c r="J36" s="42">
        <f t="shared" si="5"/>
        <v>197.39216037242932</v>
      </c>
      <c r="K36" s="43">
        <v>6</v>
      </c>
      <c r="L36" s="44">
        <f>K36/(C36/'Run Model'!$F$8)</f>
        <v>1.2764472784725747</v>
      </c>
      <c r="M36" s="54">
        <f>IF(AND(L36&lt;='Run Model'!$F$9, J36&lt;=-150), 1, 0)</f>
        <v>0</v>
      </c>
      <c r="N36" s="1"/>
    </row>
    <row r="37" spans="1:14" x14ac:dyDescent="0.3">
      <c r="A37" s="53" t="s">
        <v>45</v>
      </c>
      <c r="B37" s="39">
        <v>14.39</v>
      </c>
      <c r="C37" s="40">
        <v>48634</v>
      </c>
      <c r="D37" s="41">
        <f t="shared" si="0"/>
        <v>699.84325999999999</v>
      </c>
      <c r="E37" s="40">
        <v>279</v>
      </c>
      <c r="F37" s="41">
        <f t="shared" si="1"/>
        <v>302.22106347038942</v>
      </c>
      <c r="G37" s="41">
        <f t="shared" si="2"/>
        <v>419.905956</v>
      </c>
      <c r="H37" s="41">
        <f t="shared" si="3"/>
        <v>302.22106347038942</v>
      </c>
      <c r="I37" s="41">
        <f t="shared" si="4"/>
        <v>360.17255904487166</v>
      </c>
      <c r="J37" s="42">
        <f t="shared" si="5"/>
        <v>-57.951495574482237</v>
      </c>
      <c r="K37" s="43">
        <v>2</v>
      </c>
      <c r="L37" s="44">
        <f>K37/(C37/'Run Model'!$F$8)</f>
        <v>3.0842620389028252</v>
      </c>
      <c r="M37" s="54">
        <f>IF(AND(L37&lt;='Run Model'!$F$9, J37&lt;=-150), 1, 0)</f>
        <v>0</v>
      </c>
      <c r="N37" s="1"/>
    </row>
    <row r="38" spans="1:14" x14ac:dyDescent="0.3">
      <c r="A38" s="53" t="s">
        <v>46</v>
      </c>
      <c r="B38" s="39">
        <v>9.35</v>
      </c>
      <c r="C38" s="40">
        <v>404703</v>
      </c>
      <c r="D38" s="41">
        <f t="shared" si="0"/>
        <v>3783.9730499999996</v>
      </c>
      <c r="E38" s="40">
        <v>2409</v>
      </c>
      <c r="F38" s="41">
        <f t="shared" si="1"/>
        <v>2609.5001501798142</v>
      </c>
      <c r="G38" s="41">
        <f t="shared" si="2"/>
        <v>2270.3838299999998</v>
      </c>
      <c r="H38" s="41">
        <f t="shared" si="3"/>
        <v>2270.3838299999998</v>
      </c>
      <c r="I38" s="41">
        <f t="shared" si="4"/>
        <v>1947.4121345047004</v>
      </c>
      <c r="J38" s="42">
        <f t="shared" si="5"/>
        <v>322.9716954952994</v>
      </c>
      <c r="K38" s="43">
        <v>2</v>
      </c>
      <c r="L38" s="44">
        <f>K38/(C38/'Run Model'!$F$8)</f>
        <v>0.37064217463176696</v>
      </c>
      <c r="M38" s="54">
        <f>IF(AND(L38&lt;='Run Model'!$F$9, J38&lt;=-150), 1, 0)</f>
        <v>0</v>
      </c>
      <c r="N38" s="1"/>
    </row>
    <row r="39" spans="1:14" x14ac:dyDescent="0.3">
      <c r="A39" s="53" t="s">
        <v>47</v>
      </c>
      <c r="B39" s="39">
        <v>9.57</v>
      </c>
      <c r="C39" s="40">
        <v>87894</v>
      </c>
      <c r="D39" s="41">
        <f t="shared" si="0"/>
        <v>841.14558000000011</v>
      </c>
      <c r="E39" s="40">
        <v>204</v>
      </c>
      <c r="F39" s="41">
        <f t="shared" si="1"/>
        <v>220.97884210738152</v>
      </c>
      <c r="G39" s="41">
        <f t="shared" si="2"/>
        <v>504.68734800000004</v>
      </c>
      <c r="H39" s="41">
        <f t="shared" si="3"/>
        <v>220.97884210738152</v>
      </c>
      <c r="I39" s="41">
        <f t="shared" si="4"/>
        <v>432.89343970803242</v>
      </c>
      <c r="J39" s="42">
        <f t="shared" si="5"/>
        <v>-211.91459760065089</v>
      </c>
      <c r="K39" s="43">
        <v>4</v>
      </c>
      <c r="L39" s="44">
        <f>K39/(C39/'Run Model'!$F$8)</f>
        <v>3.4132022663663046</v>
      </c>
      <c r="M39" s="54">
        <f>IF(AND(L39&lt;='Run Model'!$F$9, J39&lt;=-150), 1, 0)</f>
        <v>0</v>
      </c>
      <c r="N39" s="1"/>
    </row>
    <row r="40" spans="1:14" x14ac:dyDescent="0.3">
      <c r="A40" s="53" t="s">
        <v>48</v>
      </c>
      <c r="B40" s="39">
        <v>10.92</v>
      </c>
      <c r="C40" s="40">
        <v>252576</v>
      </c>
      <c r="D40" s="41">
        <f t="shared" si="0"/>
        <v>2758.1299199999999</v>
      </c>
      <c r="E40" s="40">
        <v>1397</v>
      </c>
      <c r="F40" s="41">
        <f t="shared" si="1"/>
        <v>1513.2717765882942</v>
      </c>
      <c r="G40" s="41">
        <f t="shared" si="2"/>
        <v>1654.8779519999998</v>
      </c>
      <c r="H40" s="41">
        <f t="shared" si="3"/>
        <v>1513.2717765882942</v>
      </c>
      <c r="I40" s="41">
        <f t="shared" si="4"/>
        <v>1419.4645690588306</v>
      </c>
      <c r="J40" s="42">
        <f t="shared" si="5"/>
        <v>93.80720752946354</v>
      </c>
      <c r="K40" s="43">
        <v>2</v>
      </c>
      <c r="L40" s="44">
        <f>K40/(C40/'Run Model'!$F$8)</f>
        <v>0.59388065374382359</v>
      </c>
      <c r="M40" s="54">
        <f>IF(AND(L40&lt;='Run Model'!$F$9, J40&lt;=-150), 1, 0)</f>
        <v>0</v>
      </c>
      <c r="N40" s="1"/>
    </row>
    <row r="41" spans="1:14" x14ac:dyDescent="0.3">
      <c r="A41" s="53" t="s">
        <v>49</v>
      </c>
      <c r="B41" s="39">
        <v>11.4</v>
      </c>
      <c r="C41" s="40">
        <v>10294</v>
      </c>
      <c r="D41" s="41">
        <f t="shared" si="0"/>
        <v>117.3516</v>
      </c>
      <c r="E41" s="40">
        <v>68</v>
      </c>
      <c r="F41" s="41">
        <f t="shared" si="1"/>
        <v>73.659614035793851</v>
      </c>
      <c r="G41" s="41">
        <f t="shared" si="2"/>
        <v>70.410960000000003</v>
      </c>
      <c r="H41" s="41">
        <f t="shared" si="3"/>
        <v>70.410960000000003</v>
      </c>
      <c r="I41" s="41">
        <f t="shared" si="4"/>
        <v>60.394703351162036</v>
      </c>
      <c r="J41" s="42">
        <f t="shared" si="5"/>
        <v>10.016256648837967</v>
      </c>
      <c r="K41" s="43">
        <v>0</v>
      </c>
      <c r="L41" s="44">
        <f>K41/(C41/'Run Model'!$F$8)</f>
        <v>0</v>
      </c>
      <c r="M41" s="54">
        <f>IF(AND(L41&lt;='Run Model'!$F$9, J41&lt;=-150), 1, 0)</f>
        <v>0</v>
      </c>
      <c r="N41" s="1"/>
    </row>
    <row r="42" spans="1:14" x14ac:dyDescent="0.3">
      <c r="A42" s="53" t="s">
        <v>50</v>
      </c>
      <c r="B42" s="39">
        <v>13.12</v>
      </c>
      <c r="C42" s="40">
        <v>8045</v>
      </c>
      <c r="D42" s="41">
        <f t="shared" si="0"/>
        <v>105.5504</v>
      </c>
      <c r="E42" s="40">
        <v>38</v>
      </c>
      <c r="F42" s="41">
        <f t="shared" si="1"/>
        <v>41.162725490590674</v>
      </c>
      <c r="G42" s="41">
        <f t="shared" si="2"/>
        <v>63.330239999999996</v>
      </c>
      <c r="H42" s="41">
        <f t="shared" si="3"/>
        <v>41.162725490590674</v>
      </c>
      <c r="I42" s="41">
        <f t="shared" si="4"/>
        <v>54.321245697514932</v>
      </c>
      <c r="J42" s="42">
        <f t="shared" si="5"/>
        <v>-13.158520206924258</v>
      </c>
      <c r="K42" s="43">
        <v>1</v>
      </c>
      <c r="L42" s="44">
        <f>K42/(C42/'Run Model'!$F$8)</f>
        <v>9.3225605966438785</v>
      </c>
      <c r="M42" s="54">
        <f>IF(AND(L42&lt;='Run Model'!$F$9, J42&lt;=-150), 1, 0)</f>
        <v>0</v>
      </c>
      <c r="N42" s="1"/>
    </row>
    <row r="43" spans="1:14" x14ac:dyDescent="0.3">
      <c r="A43" s="53" t="s">
        <v>51</v>
      </c>
      <c r="B43" s="39">
        <v>9.7200000000000006</v>
      </c>
      <c r="C43" s="40">
        <v>64251</v>
      </c>
      <c r="D43" s="41">
        <f t="shared" si="0"/>
        <v>624.51972000000012</v>
      </c>
      <c r="E43" s="40">
        <v>226</v>
      </c>
      <c r="F43" s="41">
        <f t="shared" si="1"/>
        <v>244.80989370719718</v>
      </c>
      <c r="G43" s="41">
        <f t="shared" si="2"/>
        <v>374.71183200000007</v>
      </c>
      <c r="H43" s="41">
        <f t="shared" si="3"/>
        <v>244.80989370719718</v>
      </c>
      <c r="I43" s="41">
        <f t="shared" si="4"/>
        <v>321.40749019485702</v>
      </c>
      <c r="J43" s="42">
        <f t="shared" si="5"/>
        <v>-76.597596487659843</v>
      </c>
      <c r="K43" s="43">
        <v>2</v>
      </c>
      <c r="L43" s="44">
        <f>K43/(C43/'Run Model'!$F$8)</f>
        <v>2.334594014100948</v>
      </c>
      <c r="M43" s="54">
        <f>IF(AND(L43&lt;='Run Model'!$F$9, J43&lt;=-150), 1, 0)</f>
        <v>0</v>
      </c>
      <c r="N43" s="1"/>
    </row>
    <row r="44" spans="1:14" x14ac:dyDescent="0.3">
      <c r="A44" s="53" t="s">
        <v>52</v>
      </c>
      <c r="B44" s="39">
        <v>9.98</v>
      </c>
      <c r="C44" s="40">
        <v>20146</v>
      </c>
      <c r="D44" s="41">
        <f t="shared" si="0"/>
        <v>201.05708000000001</v>
      </c>
      <c r="E44" s="40">
        <v>92</v>
      </c>
      <c r="F44" s="41">
        <f t="shared" si="1"/>
        <v>99.65712487195637</v>
      </c>
      <c r="G44" s="41">
        <f t="shared" si="2"/>
        <v>120.634248</v>
      </c>
      <c r="H44" s="41">
        <f t="shared" si="3"/>
        <v>99.65712487195637</v>
      </c>
      <c r="I44" s="41">
        <f t="shared" si="4"/>
        <v>103.47351636663542</v>
      </c>
      <c r="J44" s="42">
        <f t="shared" si="5"/>
        <v>-3.8163914946790527</v>
      </c>
      <c r="K44" s="43">
        <v>1</v>
      </c>
      <c r="L44" s="44">
        <f>K44/(C44/'Run Model'!$F$8)</f>
        <v>3.7228233892584139</v>
      </c>
      <c r="M44" s="54">
        <f>IF(AND(L44&lt;='Run Model'!$F$9, J44&lt;=-150), 1, 0)</f>
        <v>0</v>
      </c>
      <c r="N44" s="1"/>
    </row>
    <row r="45" spans="1:14" x14ac:dyDescent="0.3">
      <c r="A45" s="53" t="s">
        <v>53</v>
      </c>
      <c r="B45" s="39">
        <v>8.75</v>
      </c>
      <c r="C45" s="40">
        <v>574512</v>
      </c>
      <c r="D45" s="41">
        <f t="shared" si="0"/>
        <v>5026.9799999999996</v>
      </c>
      <c r="E45" s="40">
        <v>2320</v>
      </c>
      <c r="F45" s="41">
        <f t="shared" si="1"/>
        <v>2513.0927141623783</v>
      </c>
      <c r="G45" s="41">
        <f t="shared" si="2"/>
        <v>3016.1879999999996</v>
      </c>
      <c r="H45" s="41">
        <f t="shared" si="3"/>
        <v>2513.0927141623783</v>
      </c>
      <c r="I45" s="41">
        <f t="shared" si="4"/>
        <v>2587.1225092135469</v>
      </c>
      <c r="J45" s="42">
        <f t="shared" si="5"/>
        <v>-74.029795051168549</v>
      </c>
      <c r="K45" s="43">
        <v>5</v>
      </c>
      <c r="L45" s="44">
        <f>K45/(C45/'Run Model'!$F$8)</f>
        <v>0.65272788035759044</v>
      </c>
      <c r="M45" s="54">
        <f>IF(AND(L45&lt;='Run Model'!$F$9, J45&lt;=-150), 1, 0)</f>
        <v>0</v>
      </c>
      <c r="N45" s="1"/>
    </row>
    <row r="46" spans="1:14" x14ac:dyDescent="0.3">
      <c r="A46" s="53" t="s">
        <v>54</v>
      </c>
      <c r="B46" s="39">
        <v>14.37</v>
      </c>
      <c r="C46" s="40">
        <v>45039</v>
      </c>
      <c r="D46" s="41">
        <f t="shared" si="0"/>
        <v>647.21042999999997</v>
      </c>
      <c r="E46" s="40">
        <v>245</v>
      </c>
      <c r="F46" s="41">
        <f t="shared" si="1"/>
        <v>265.39125645249254</v>
      </c>
      <c r="G46" s="41">
        <f t="shared" si="2"/>
        <v>388.326258</v>
      </c>
      <c r="H46" s="41">
        <f t="shared" si="3"/>
        <v>265.39125645249254</v>
      </c>
      <c r="I46" s="41">
        <f t="shared" si="4"/>
        <v>333.08520655558186</v>
      </c>
      <c r="J46" s="42">
        <f t="shared" si="5"/>
        <v>-67.693950103089321</v>
      </c>
      <c r="K46" s="43">
        <v>3</v>
      </c>
      <c r="L46" s="44">
        <f>K46/(C46/'Run Model'!$F$8)</f>
        <v>4.9956704189702252</v>
      </c>
      <c r="M46" s="54">
        <f>IF(AND(L46&lt;='Run Model'!$F$9, J46&lt;=-150), 1, 0)</f>
        <v>0</v>
      </c>
      <c r="N46" s="1"/>
    </row>
    <row r="47" spans="1:14" x14ac:dyDescent="0.3">
      <c r="A47" s="53" t="s">
        <v>55</v>
      </c>
      <c r="B47" s="39">
        <v>8.15</v>
      </c>
      <c r="C47" s="40">
        <v>153161</v>
      </c>
      <c r="D47" s="41">
        <f t="shared" si="0"/>
        <v>1248.2621500000002</v>
      </c>
      <c r="E47" s="40">
        <v>446</v>
      </c>
      <c r="F47" s="41">
        <f t="shared" si="1"/>
        <v>483.12040970535372</v>
      </c>
      <c r="G47" s="41">
        <f t="shared" si="2"/>
        <v>748.95729000000017</v>
      </c>
      <c r="H47" s="41">
        <f t="shared" si="3"/>
        <v>483.12040970535372</v>
      </c>
      <c r="I47" s="41">
        <f t="shared" si="4"/>
        <v>642.41495006232333</v>
      </c>
      <c r="J47" s="42">
        <f t="shared" si="5"/>
        <v>-159.29454035696961</v>
      </c>
      <c r="K47" s="43">
        <v>5</v>
      </c>
      <c r="L47" s="44">
        <f>K47/(C47/'Run Model'!$F$8)</f>
        <v>2.4484039670673345</v>
      </c>
      <c r="M47" s="54">
        <f>IF(AND(L47&lt;='Run Model'!$F$9, J47&lt;=-150), 1, 0)</f>
        <v>1</v>
      </c>
      <c r="N47" s="1"/>
    </row>
    <row r="48" spans="1:14" x14ac:dyDescent="0.3">
      <c r="A48" s="53" t="s">
        <v>159</v>
      </c>
      <c r="B48" s="39">
        <v>13.82</v>
      </c>
      <c r="C48" s="40">
        <v>65661</v>
      </c>
      <c r="D48" s="41">
        <f t="shared" si="0"/>
        <v>907.43502000000001</v>
      </c>
      <c r="E48" s="40">
        <v>381</v>
      </c>
      <c r="F48" s="41">
        <f t="shared" si="1"/>
        <v>412.71048452408019</v>
      </c>
      <c r="G48" s="41">
        <f t="shared" si="2"/>
        <v>544.46101199999998</v>
      </c>
      <c r="H48" s="41">
        <f t="shared" si="3"/>
        <v>412.71048452408019</v>
      </c>
      <c r="I48" s="41">
        <f t="shared" si="4"/>
        <v>467.00913190238384</v>
      </c>
      <c r="J48" s="42">
        <f t="shared" si="5"/>
        <v>-54.298647378303656</v>
      </c>
      <c r="K48" s="43">
        <v>1</v>
      </c>
      <c r="L48" s="44">
        <f>K48/(C48/'Run Model'!$F$8)</f>
        <v>1.1422305478137706</v>
      </c>
      <c r="M48" s="54">
        <v>0</v>
      </c>
      <c r="N48" s="1"/>
    </row>
    <row r="49" spans="1:14" x14ac:dyDescent="0.3">
      <c r="A49" s="53" t="s">
        <v>57</v>
      </c>
      <c r="B49" s="39">
        <v>12.4</v>
      </c>
      <c r="C49" s="40">
        <v>126349</v>
      </c>
      <c r="D49" s="41">
        <f t="shared" si="0"/>
        <v>1566.7276000000002</v>
      </c>
      <c r="E49" s="40">
        <v>1002</v>
      </c>
      <c r="F49" s="41">
        <f t="shared" si="1"/>
        <v>1085.3960774097857</v>
      </c>
      <c r="G49" s="41">
        <f t="shared" si="2"/>
        <v>940.03656000000001</v>
      </c>
      <c r="H49" s="41">
        <f t="shared" si="3"/>
        <v>940.03656000000001</v>
      </c>
      <c r="I49" s="41">
        <f t="shared" si="4"/>
        <v>806.31238631665917</v>
      </c>
      <c r="J49" s="42">
        <f t="shared" si="5"/>
        <v>133.72417368334084</v>
      </c>
      <c r="K49" s="43">
        <v>2</v>
      </c>
      <c r="L49" s="44">
        <f>K49/(C49/'Run Model'!$F$8)</f>
        <v>1.1871878685229009</v>
      </c>
      <c r="M49" s="54">
        <f>IF(AND(L49&lt;='Run Model'!$F$9, J49&lt;=-150), 1, 0)</f>
        <v>0</v>
      </c>
      <c r="N49" s="1"/>
    </row>
    <row r="50" spans="1:14" x14ac:dyDescent="0.3">
      <c r="A50" s="53" t="s">
        <v>58</v>
      </c>
      <c r="B50" s="39">
        <v>12.89</v>
      </c>
      <c r="C50" s="40">
        <v>17995</v>
      </c>
      <c r="D50" s="41">
        <f t="shared" si="0"/>
        <v>231.95555000000002</v>
      </c>
      <c r="E50" s="40">
        <v>101</v>
      </c>
      <c r="F50" s="41">
        <f t="shared" si="1"/>
        <v>109.40619143551733</v>
      </c>
      <c r="G50" s="41">
        <f t="shared" si="2"/>
        <v>139.17332999999999</v>
      </c>
      <c r="H50" s="41">
        <f t="shared" si="3"/>
        <v>109.40619143551733</v>
      </c>
      <c r="I50" s="41">
        <f t="shared" si="4"/>
        <v>119.37533559751749</v>
      </c>
      <c r="J50" s="42">
        <f t="shared" si="5"/>
        <v>-9.9691441620001626</v>
      </c>
      <c r="K50" s="43">
        <v>1</v>
      </c>
      <c r="L50" s="44">
        <f>K50/(C50/'Run Model'!$F$8)</f>
        <v>4.1678243956654626</v>
      </c>
      <c r="M50" s="54">
        <f>IF(AND(L50&lt;='Run Model'!$F$9, J50&lt;=-150), 1, 0)</f>
        <v>0</v>
      </c>
      <c r="N50" s="1"/>
    </row>
    <row r="51" spans="1:14" x14ac:dyDescent="0.3">
      <c r="A51" s="53" t="s">
        <v>59</v>
      </c>
      <c r="B51" s="39">
        <v>7.09</v>
      </c>
      <c r="C51" s="40">
        <v>57740</v>
      </c>
      <c r="D51" s="41">
        <f t="shared" si="0"/>
        <v>409.3766</v>
      </c>
      <c r="E51" s="40">
        <v>186</v>
      </c>
      <c r="F51" s="41">
        <f t="shared" si="1"/>
        <v>201.48070898025964</v>
      </c>
      <c r="G51" s="41">
        <f t="shared" si="2"/>
        <v>245.62595999999999</v>
      </c>
      <c r="H51" s="41">
        <f t="shared" si="3"/>
        <v>201.48070898025964</v>
      </c>
      <c r="I51" s="41">
        <f t="shared" si="4"/>
        <v>210.68462906264014</v>
      </c>
      <c r="J51" s="42">
        <f t="shared" si="5"/>
        <v>-9.2039200823805061</v>
      </c>
      <c r="K51" s="43">
        <v>2</v>
      </c>
      <c r="L51" s="44">
        <f>K51/(C51/'Run Model'!$F$8)</f>
        <v>2.5978524419812952</v>
      </c>
      <c r="M51" s="54">
        <f>IF(AND(L51&lt;='Run Model'!$F$9, J51&lt;=-150), 1, 0)</f>
        <v>0</v>
      </c>
      <c r="N51" s="1"/>
    </row>
    <row r="52" spans="1:14" x14ac:dyDescent="0.3">
      <c r="A52" s="53" t="s">
        <v>60</v>
      </c>
      <c r="B52" s="39">
        <v>12.44</v>
      </c>
      <c r="C52" s="40">
        <v>4488</v>
      </c>
      <c r="D52" s="41">
        <f t="shared" si="0"/>
        <v>55.830719999999999</v>
      </c>
      <c r="E52" s="40">
        <v>13</v>
      </c>
      <c r="F52" s="41">
        <f t="shared" si="1"/>
        <v>14.081985036254705</v>
      </c>
      <c r="G52" s="41">
        <f t="shared" si="2"/>
        <v>33.498432000000001</v>
      </c>
      <c r="H52" s="41">
        <f t="shared" si="3"/>
        <v>14.081985036254705</v>
      </c>
      <c r="I52" s="41">
        <f t="shared" si="4"/>
        <v>28.73313846834461</v>
      </c>
      <c r="J52" s="42">
        <f t="shared" si="5"/>
        <v>-14.651153432089904</v>
      </c>
      <c r="K52" s="43">
        <v>1</v>
      </c>
      <c r="L52" s="44">
        <f>K52/(C52/'Run Model'!$F$8)</f>
        <v>16.711229946524064</v>
      </c>
      <c r="M52" s="54">
        <f>IF(AND(L52&lt;='Run Model'!$F$9, J52&lt;=-150), 1, 0)</f>
        <v>0</v>
      </c>
      <c r="N52" s="1"/>
    </row>
    <row r="53" spans="1:14" x14ac:dyDescent="0.3">
      <c r="A53" s="53" t="s">
        <v>61</v>
      </c>
      <c r="B53" s="39">
        <v>8.8699999999999992</v>
      </c>
      <c r="C53" s="40">
        <v>217426</v>
      </c>
      <c r="D53" s="41">
        <f t="shared" si="0"/>
        <v>1928.5686199999998</v>
      </c>
      <c r="E53" s="40">
        <v>1065</v>
      </c>
      <c r="F53" s="41">
        <f t="shared" si="1"/>
        <v>1153.6395433547125</v>
      </c>
      <c r="G53" s="41">
        <f t="shared" si="2"/>
        <v>1157.1411719999999</v>
      </c>
      <c r="H53" s="41">
        <f t="shared" si="3"/>
        <v>1153.6395433547125</v>
      </c>
      <c r="I53" s="41">
        <f t="shared" si="4"/>
        <v>992.53294967652698</v>
      </c>
      <c r="J53" s="42">
        <f t="shared" si="5"/>
        <v>161.1065936781855</v>
      </c>
      <c r="K53" s="43">
        <v>5</v>
      </c>
      <c r="L53" s="44">
        <f>K53/(C53/'Run Model'!$F$8)</f>
        <v>1.7247247339324643</v>
      </c>
      <c r="M53" s="54">
        <f>IF(AND(L53&lt;='Run Model'!$F$9, J53&lt;=-150), 1, 0)</f>
        <v>0</v>
      </c>
      <c r="N53" s="1"/>
    </row>
    <row r="54" spans="1:14" x14ac:dyDescent="0.3">
      <c r="A54" s="53" t="s">
        <v>62</v>
      </c>
      <c r="B54" s="39">
        <v>9.5399999999999991</v>
      </c>
      <c r="C54" s="40">
        <v>45795</v>
      </c>
      <c r="D54" s="41">
        <f t="shared" si="0"/>
        <v>436.8843</v>
      </c>
      <c r="E54" s="40">
        <v>169</v>
      </c>
      <c r="F54" s="41">
        <f t="shared" si="1"/>
        <v>183.06580547131117</v>
      </c>
      <c r="G54" s="41">
        <f t="shared" si="2"/>
        <v>262.13058000000001</v>
      </c>
      <c r="H54" s="41">
        <f t="shared" si="3"/>
        <v>183.06580547131117</v>
      </c>
      <c r="I54" s="41">
        <f t="shared" si="4"/>
        <v>224.8413971115867</v>
      </c>
      <c r="J54" s="42">
        <f t="shared" si="5"/>
        <v>-41.775591640275536</v>
      </c>
      <c r="K54" s="43">
        <v>0</v>
      </c>
      <c r="L54" s="44">
        <f>K54/(C54/'Run Model'!$F$8)</f>
        <v>0</v>
      </c>
      <c r="M54" s="54">
        <f>IF(AND(L54&lt;='Run Model'!$F$9, J54&lt;=-150), 1, 0)</f>
        <v>0</v>
      </c>
      <c r="N54" s="1"/>
    </row>
    <row r="55" spans="1:14" x14ac:dyDescent="0.3">
      <c r="A55" s="53" t="s">
        <v>158</v>
      </c>
      <c r="B55" s="39">
        <v>7.71</v>
      </c>
      <c r="C55" s="40">
        <v>270391</v>
      </c>
      <c r="D55" s="41">
        <f t="shared" si="0"/>
        <v>2084.71461</v>
      </c>
      <c r="E55" s="40">
        <v>669</v>
      </c>
      <c r="F55" s="41">
        <f t="shared" si="1"/>
        <v>724.68061455803058</v>
      </c>
      <c r="G55" s="41">
        <f t="shared" si="2"/>
        <v>1250.8287659999999</v>
      </c>
      <c r="H55" s="41">
        <f t="shared" si="3"/>
        <v>724.68061455803058</v>
      </c>
      <c r="I55" s="41">
        <f t="shared" si="4"/>
        <v>1072.8930874635153</v>
      </c>
      <c r="J55" s="42">
        <f t="shared" si="5"/>
        <v>-348.21247290548467</v>
      </c>
      <c r="K55" s="43">
        <v>8</v>
      </c>
      <c r="L55" s="44">
        <f>K55/(C55/'Run Model'!$F$8)</f>
        <v>2.2190087687829845</v>
      </c>
      <c r="M55" s="54">
        <v>0</v>
      </c>
      <c r="N55" s="1"/>
    </row>
    <row r="56" spans="1:14" x14ac:dyDescent="0.3">
      <c r="A56" s="53" t="s">
        <v>64</v>
      </c>
      <c r="B56" s="39">
        <v>13.9</v>
      </c>
      <c r="C56" s="40">
        <v>9227</v>
      </c>
      <c r="D56" s="41">
        <f t="shared" si="0"/>
        <v>128.25530000000001</v>
      </c>
      <c r="E56" s="40">
        <v>57</v>
      </c>
      <c r="F56" s="41">
        <f t="shared" si="1"/>
        <v>61.744088235886018</v>
      </c>
      <c r="G56" s="41">
        <f t="shared" si="2"/>
        <v>76.953180000000003</v>
      </c>
      <c r="H56" s="41">
        <f t="shared" si="3"/>
        <v>61.744088235886018</v>
      </c>
      <c r="I56" s="41">
        <f t="shared" si="4"/>
        <v>66.006264905755799</v>
      </c>
      <c r="J56" s="42">
        <f t="shared" si="5"/>
        <v>-4.2621766698697812</v>
      </c>
      <c r="K56" s="43">
        <v>1</v>
      </c>
      <c r="L56" s="44">
        <f>K56/(C56/'Run Model'!$F$8)</f>
        <v>8.1283190636176439</v>
      </c>
      <c r="M56" s="54">
        <f>IF(AND(L56&lt;='Run Model'!$F$9, J56&lt;=-150), 1, 0)</f>
        <v>0</v>
      </c>
      <c r="N56" s="1"/>
    </row>
    <row r="57" spans="1:14" x14ac:dyDescent="0.3">
      <c r="A57" s="53" t="s">
        <v>65</v>
      </c>
      <c r="B57" s="39">
        <v>9.77</v>
      </c>
      <c r="C57" s="40">
        <v>72236</v>
      </c>
      <c r="D57" s="41">
        <f t="shared" si="0"/>
        <v>705.74572000000001</v>
      </c>
      <c r="E57" s="40">
        <v>346</v>
      </c>
      <c r="F57" s="41">
        <f t="shared" si="1"/>
        <v>374.79744788800986</v>
      </c>
      <c r="G57" s="41">
        <f t="shared" si="2"/>
        <v>423.44743199999999</v>
      </c>
      <c r="H57" s="41">
        <f t="shared" si="3"/>
        <v>374.79744788800986</v>
      </c>
      <c r="I57" s="41">
        <f t="shared" si="4"/>
        <v>363.21024511597852</v>
      </c>
      <c r="J57" s="42">
        <f t="shared" si="5"/>
        <v>11.587202772031333</v>
      </c>
      <c r="K57" s="43">
        <v>2</v>
      </c>
      <c r="L57" s="44">
        <f>K57/(C57/'Run Model'!$F$8)</f>
        <v>2.0765269394761612</v>
      </c>
      <c r="M57" s="54">
        <f>IF(AND(L57&lt;='Run Model'!$F$9, J57&lt;=-150), 1, 0)</f>
        <v>0</v>
      </c>
      <c r="N57" s="1"/>
    </row>
    <row r="58" spans="1:14" x14ac:dyDescent="0.3">
      <c r="A58" s="53" t="s">
        <v>66</v>
      </c>
      <c r="B58" s="39">
        <v>13.17</v>
      </c>
      <c r="C58" s="40">
        <v>54007</v>
      </c>
      <c r="D58" s="41">
        <f t="shared" si="0"/>
        <v>711.27218999999991</v>
      </c>
      <c r="E58" s="40">
        <v>269</v>
      </c>
      <c r="F58" s="41">
        <f t="shared" si="1"/>
        <v>291.38876728865506</v>
      </c>
      <c r="G58" s="41">
        <f t="shared" si="2"/>
        <v>426.76331399999992</v>
      </c>
      <c r="H58" s="41">
        <f t="shared" si="3"/>
        <v>291.38876728865506</v>
      </c>
      <c r="I58" s="41">
        <f t="shared" si="4"/>
        <v>366.05442888704846</v>
      </c>
      <c r="J58" s="42">
        <f t="shared" si="5"/>
        <v>-74.665661598393399</v>
      </c>
      <c r="K58" s="43">
        <v>3</v>
      </c>
      <c r="L58" s="44">
        <f>K58/(C58/'Run Model'!$F$8)</f>
        <v>4.1661266132168047</v>
      </c>
      <c r="M58" s="54">
        <f>IF(AND(L58&lt;='Run Model'!$F$9, J58&lt;=-150), 1, 0)</f>
        <v>0</v>
      </c>
      <c r="N58" s="1"/>
    </row>
    <row r="59" spans="1:14" x14ac:dyDescent="0.3">
      <c r="A59" s="53" t="s">
        <v>67</v>
      </c>
      <c r="B59" s="39">
        <v>10.09</v>
      </c>
      <c r="C59" s="40">
        <v>103175</v>
      </c>
      <c r="D59" s="41">
        <f t="shared" si="0"/>
        <v>1041.03575</v>
      </c>
      <c r="E59" s="40">
        <v>460</v>
      </c>
      <c r="F59" s="41">
        <f t="shared" si="1"/>
        <v>498.28562435978188</v>
      </c>
      <c r="G59" s="41">
        <f t="shared" si="2"/>
        <v>624.62144999999998</v>
      </c>
      <c r="H59" s="41">
        <f t="shared" si="3"/>
        <v>498.28562435978188</v>
      </c>
      <c r="I59" s="41">
        <f t="shared" si="4"/>
        <v>535.76640880230423</v>
      </c>
      <c r="J59" s="42">
        <f t="shared" si="5"/>
        <v>-37.480784442522349</v>
      </c>
      <c r="K59" s="43">
        <v>1</v>
      </c>
      <c r="L59" s="44">
        <f>K59/(C59/'Run Model'!$F$8)</f>
        <v>0.72692028107584206</v>
      </c>
      <c r="M59" s="54">
        <f>IF(AND(L59&lt;='Run Model'!$F$9, J59&lt;=-150), 1, 0)</f>
        <v>0</v>
      </c>
      <c r="N59" s="1"/>
    </row>
    <row r="60" spans="1:14" x14ac:dyDescent="0.3">
      <c r="A60" s="53" t="s">
        <v>68</v>
      </c>
      <c r="B60" s="39">
        <v>13.38</v>
      </c>
      <c r="C60" s="40">
        <v>39601</v>
      </c>
      <c r="D60" s="41">
        <f t="shared" si="0"/>
        <v>529.86138000000005</v>
      </c>
      <c r="E60" s="40">
        <v>266</v>
      </c>
      <c r="F60" s="41">
        <f t="shared" si="1"/>
        <v>288.13907843413472</v>
      </c>
      <c r="G60" s="41">
        <f t="shared" si="2"/>
        <v>317.91682800000001</v>
      </c>
      <c r="H60" s="41">
        <f t="shared" si="3"/>
        <v>288.13907843413472</v>
      </c>
      <c r="I60" s="41">
        <f t="shared" si="4"/>
        <v>272.69181555545339</v>
      </c>
      <c r="J60" s="42">
        <f t="shared" si="5"/>
        <v>15.447262878681329</v>
      </c>
      <c r="K60" s="43">
        <v>3</v>
      </c>
      <c r="L60" s="44">
        <f>K60/(C60/'Run Model'!$F$8)</f>
        <v>5.6816747051842125</v>
      </c>
      <c r="M60" s="54">
        <f>IF(AND(L60&lt;='Run Model'!$F$9, J60&lt;=-150), 1, 0)</f>
        <v>0</v>
      </c>
      <c r="N60" s="1"/>
    </row>
    <row r="61" spans="1:14" x14ac:dyDescent="0.3">
      <c r="A61" s="53" t="s">
        <v>69</v>
      </c>
      <c r="B61" s="39">
        <v>12.56</v>
      </c>
      <c r="C61" s="40">
        <v>22101</v>
      </c>
      <c r="D61" s="41">
        <f t="shared" si="0"/>
        <v>277.58855999999997</v>
      </c>
      <c r="E61" s="40">
        <v>87</v>
      </c>
      <c r="F61" s="41">
        <f t="shared" si="1"/>
        <v>94.240976781089188</v>
      </c>
      <c r="G61" s="41">
        <f t="shared" si="2"/>
        <v>166.55313599999997</v>
      </c>
      <c r="H61" s="41">
        <f t="shared" si="3"/>
        <v>94.240976781089188</v>
      </c>
      <c r="I61" s="41">
        <f t="shared" si="4"/>
        <v>142.86024847446683</v>
      </c>
      <c r="J61" s="42">
        <f t="shared" si="5"/>
        <v>-48.619271693377641</v>
      </c>
      <c r="K61" s="43">
        <v>1</v>
      </c>
      <c r="L61" s="44">
        <f>K61/(C61/'Run Model'!$F$8)</f>
        <v>3.3935116058096919</v>
      </c>
      <c r="M61" s="54">
        <f>IF(AND(L61&lt;='Run Model'!$F$9, J61&lt;=-150), 1, 0)</f>
        <v>0</v>
      </c>
      <c r="N61" s="1"/>
    </row>
    <row r="62" spans="1:14" x14ac:dyDescent="0.3">
      <c r="A62" s="53" t="s">
        <v>70</v>
      </c>
      <c r="B62" s="39">
        <v>14.23</v>
      </c>
      <c r="C62" s="40">
        <v>20439</v>
      </c>
      <c r="D62" s="41">
        <f t="shared" si="0"/>
        <v>290.84697000000006</v>
      </c>
      <c r="E62" s="40">
        <v>113</v>
      </c>
      <c r="F62" s="41">
        <f t="shared" si="1"/>
        <v>122.40494685359859</v>
      </c>
      <c r="G62" s="41">
        <f t="shared" si="2"/>
        <v>174.50818200000003</v>
      </c>
      <c r="H62" s="41">
        <f t="shared" si="3"/>
        <v>122.40494685359859</v>
      </c>
      <c r="I62" s="41">
        <f t="shared" si="4"/>
        <v>149.68365555931345</v>
      </c>
      <c r="J62" s="42">
        <f t="shared" si="5"/>
        <v>-27.278708705714863</v>
      </c>
      <c r="K62" s="43">
        <v>2</v>
      </c>
      <c r="L62" s="44">
        <f>K62/(C62/'Run Model'!$F$8)</f>
        <v>7.3389109056216064</v>
      </c>
      <c r="M62" s="54">
        <f>IF(AND(L62&lt;='Run Model'!$F$9, J62&lt;=-150), 1, 0)</f>
        <v>0</v>
      </c>
      <c r="N62" s="1"/>
    </row>
    <row r="63" spans="1:14" x14ac:dyDescent="0.3">
      <c r="A63" s="53" t="s">
        <v>160</v>
      </c>
      <c r="B63" s="39">
        <v>12.24</v>
      </c>
      <c r="C63" s="40">
        <v>44797</v>
      </c>
      <c r="D63" s="41">
        <f t="shared" si="0"/>
        <v>548.31528000000003</v>
      </c>
      <c r="E63" s="40">
        <v>192</v>
      </c>
      <c r="F63" s="41">
        <f t="shared" si="1"/>
        <v>207.98008668930026</v>
      </c>
      <c r="G63" s="41">
        <f t="shared" si="2"/>
        <v>328.98916800000001</v>
      </c>
      <c r="H63" s="41">
        <f t="shared" si="3"/>
        <v>207.98008668930026</v>
      </c>
      <c r="I63" s="41">
        <f t="shared" si="4"/>
        <v>282.18906839369339</v>
      </c>
      <c r="J63" s="42">
        <f t="shared" si="5"/>
        <v>-74.208981704393125</v>
      </c>
      <c r="K63" s="43">
        <v>1</v>
      </c>
      <c r="L63" s="44">
        <f>K63/(C63/'Run Model'!$F$8)</f>
        <v>1.6742192557537334</v>
      </c>
      <c r="M63" s="54">
        <v>0</v>
      </c>
      <c r="N63" s="1"/>
    </row>
    <row r="64" spans="1:14" x14ac:dyDescent="0.3">
      <c r="A64" s="53" t="s">
        <v>72</v>
      </c>
      <c r="B64" s="39">
        <v>5.82</v>
      </c>
      <c r="C64" s="40">
        <v>1236211</v>
      </c>
      <c r="D64" s="41">
        <f t="shared" si="0"/>
        <v>7194.7480200000009</v>
      </c>
      <c r="E64" s="40">
        <v>4326</v>
      </c>
      <c r="F64" s="41">
        <f t="shared" si="1"/>
        <v>4686.0513282182965</v>
      </c>
      <c r="G64" s="41">
        <f t="shared" si="2"/>
        <v>4316.8488120000002</v>
      </c>
      <c r="H64" s="41">
        <f t="shared" si="3"/>
        <v>4316.8488120000002</v>
      </c>
      <c r="I64" s="41">
        <f t="shared" si="4"/>
        <v>3702.7588235206035</v>
      </c>
      <c r="J64" s="42">
        <f t="shared" si="5"/>
        <v>614.08998847939665</v>
      </c>
      <c r="K64" s="43">
        <v>7</v>
      </c>
      <c r="L64" s="44">
        <f>K64/(C64/'Run Model'!$F$8)</f>
        <v>0.42468478277575594</v>
      </c>
      <c r="M64" s="54">
        <f>IF(AND(L64&lt;='Run Model'!$F$9, J64&lt;=-150), 1, 0)</f>
        <v>0</v>
      </c>
      <c r="N64" s="1"/>
    </row>
    <row r="65" spans="1:14" x14ac:dyDescent="0.3">
      <c r="A65" s="53" t="s">
        <v>73</v>
      </c>
      <c r="B65" s="39">
        <v>15.31</v>
      </c>
      <c r="C65" s="40">
        <v>14560</v>
      </c>
      <c r="D65" s="41">
        <f t="shared" si="0"/>
        <v>222.9136</v>
      </c>
      <c r="E65" s="40">
        <v>135</v>
      </c>
      <c r="F65" s="41">
        <f t="shared" si="1"/>
        <v>146.23599845341425</v>
      </c>
      <c r="G65" s="41">
        <f t="shared" si="2"/>
        <v>133.74815999999998</v>
      </c>
      <c r="H65" s="41">
        <f t="shared" si="3"/>
        <v>133.74815999999998</v>
      </c>
      <c r="I65" s="41">
        <f t="shared" si="4"/>
        <v>114.72191895926083</v>
      </c>
      <c r="J65" s="42">
        <f t="shared" si="5"/>
        <v>19.026241040739151</v>
      </c>
      <c r="K65" s="43">
        <v>1</v>
      </c>
      <c r="L65" s="44">
        <f>K65/(C65/'Run Model'!$F$8)</f>
        <v>5.1510989010989015</v>
      </c>
      <c r="M65" s="54">
        <f>IF(AND(L65&lt;='Run Model'!$F$9, J65&lt;=-150), 1, 0)</f>
        <v>0</v>
      </c>
      <c r="N65" s="1"/>
    </row>
    <row r="66" spans="1:14" x14ac:dyDescent="0.3">
      <c r="A66" s="53" t="s">
        <v>74</v>
      </c>
      <c r="B66" s="39">
        <v>12.18</v>
      </c>
      <c r="C66" s="40">
        <v>26172</v>
      </c>
      <c r="D66" s="41">
        <f t="shared" si="0"/>
        <v>318.77496000000002</v>
      </c>
      <c r="E66" s="40">
        <v>159</v>
      </c>
      <c r="F66" s="41">
        <f t="shared" si="1"/>
        <v>172.23350928957677</v>
      </c>
      <c r="G66" s="41">
        <f t="shared" si="2"/>
        <v>191.26497600000002</v>
      </c>
      <c r="H66" s="41">
        <f t="shared" si="3"/>
        <v>172.23350928957677</v>
      </c>
      <c r="I66" s="41">
        <f t="shared" si="4"/>
        <v>164.05672479095765</v>
      </c>
      <c r="J66" s="42">
        <f t="shared" si="5"/>
        <v>8.1767844986191278</v>
      </c>
      <c r="K66" s="43">
        <v>1</v>
      </c>
      <c r="L66" s="44">
        <f>K66/(C66/'Run Model'!$F$8)</f>
        <v>2.8656579550664834</v>
      </c>
      <c r="M66" s="54">
        <f>IF(AND(L66&lt;='Run Model'!$F$9, J66&lt;=-150), 1, 0)</f>
        <v>0</v>
      </c>
      <c r="N66" s="1"/>
    </row>
    <row r="67" spans="1:14" x14ac:dyDescent="0.3">
      <c r="A67" s="53" t="s">
        <v>75</v>
      </c>
      <c r="B67" s="39">
        <v>11.65</v>
      </c>
      <c r="C67" s="40">
        <v>117379</v>
      </c>
      <c r="D67" s="41">
        <f t="shared" si="0"/>
        <v>1367.4653500000002</v>
      </c>
      <c r="E67" s="40">
        <v>796</v>
      </c>
      <c r="F67" s="41">
        <f t="shared" si="1"/>
        <v>862.25077606605737</v>
      </c>
      <c r="G67" s="41">
        <f t="shared" si="2"/>
        <v>820.47921000000008</v>
      </c>
      <c r="H67" s="41">
        <f t="shared" si="3"/>
        <v>820.47921000000008</v>
      </c>
      <c r="I67" s="41">
        <f t="shared" si="4"/>
        <v>703.76257465806157</v>
      </c>
      <c r="J67" s="42">
        <f t="shared" si="5"/>
        <v>116.71663534193851</v>
      </c>
      <c r="K67" s="43">
        <v>4</v>
      </c>
      <c r="L67" s="44">
        <f>K67/(C67/'Run Model'!$F$8)</f>
        <v>2.5558234437165082</v>
      </c>
      <c r="M67" s="54">
        <f>IF(AND(L67&lt;='Run Model'!$F$9, J67&lt;=-150), 1, 0)</f>
        <v>0</v>
      </c>
      <c r="N67" s="1"/>
    </row>
    <row r="68" spans="1:14" x14ac:dyDescent="0.3">
      <c r="A68" s="53" t="s">
        <v>76</v>
      </c>
      <c r="B68" s="39">
        <v>11.56</v>
      </c>
      <c r="C68" s="40">
        <v>100234</v>
      </c>
      <c r="D68" s="41">
        <f t="shared" si="0"/>
        <v>1158.7050400000001</v>
      </c>
      <c r="E68" s="40">
        <v>411</v>
      </c>
      <c r="F68" s="41">
        <f t="shared" si="1"/>
        <v>445.20737306928339</v>
      </c>
      <c r="G68" s="41">
        <f t="shared" si="2"/>
        <v>695.22302400000001</v>
      </c>
      <c r="H68" s="41">
        <f t="shared" si="3"/>
        <v>445.20737306928339</v>
      </c>
      <c r="I68" s="41">
        <f t="shared" si="4"/>
        <v>596.32461050634458</v>
      </c>
      <c r="J68" s="42">
        <f t="shared" si="5"/>
        <v>-151.11723743706119</v>
      </c>
      <c r="K68" s="43">
        <v>4</v>
      </c>
      <c r="L68" s="44">
        <f>K68/(C68/'Run Model'!$F$8)</f>
        <v>2.9929963884510249</v>
      </c>
      <c r="M68" s="54">
        <f>IF(AND(L68&lt;='Run Model'!$F$9, J68&lt;=-150), 1, 0)</f>
        <v>1</v>
      </c>
      <c r="N68" s="1"/>
    </row>
    <row r="69" spans="1:14" x14ac:dyDescent="0.3">
      <c r="A69" s="53" t="s">
        <v>77</v>
      </c>
      <c r="B69" s="39">
        <v>9.08</v>
      </c>
      <c r="C69" s="40">
        <v>252664</v>
      </c>
      <c r="D69" s="41">
        <f t="shared" ref="D69:D104" si="6">B69*C69/1000</f>
        <v>2294.18912</v>
      </c>
      <c r="E69" s="40">
        <v>1374</v>
      </c>
      <c r="F69" s="41">
        <f t="shared" ref="F69:F104" si="7">E69*(0.0270072483110412+1)^3</f>
        <v>1488.3574953703051</v>
      </c>
      <c r="G69" s="41">
        <f t="shared" ref="G69:G104" si="8">D69*0.6</f>
        <v>1376.5134719999999</v>
      </c>
      <c r="H69" s="41">
        <f t="shared" ref="H69:H104" si="9">IF(F69&lt;G69, F69, G69)</f>
        <v>1376.5134719999999</v>
      </c>
      <c r="I69" s="41">
        <f t="shared" ref="I69:I104" si="10">D69 *(0.424123 * (1+ 0.06661086712)^3)</f>
        <v>1180.6986128341111</v>
      </c>
      <c r="J69" s="42">
        <f t="shared" si="5"/>
        <v>195.81485916588872</v>
      </c>
      <c r="K69" s="43">
        <v>4</v>
      </c>
      <c r="L69" s="44">
        <f>K69/(C69/'Run Model'!$F$8)</f>
        <v>1.1873476237216223</v>
      </c>
      <c r="M69" s="54">
        <f>IF(AND(L69&lt;='Run Model'!$F$9, J69&lt;=-150), 1, 0)</f>
        <v>0</v>
      </c>
      <c r="N69" s="1"/>
    </row>
    <row r="70" spans="1:14" x14ac:dyDescent="0.3">
      <c r="A70" s="53" t="s">
        <v>78</v>
      </c>
      <c r="B70" s="39">
        <v>14.51</v>
      </c>
      <c r="C70" s="40">
        <v>16060</v>
      </c>
      <c r="D70" s="41">
        <f t="shared" si="6"/>
        <v>233.03059999999999</v>
      </c>
      <c r="E70" s="40">
        <v>111</v>
      </c>
      <c r="F70" s="41">
        <f t="shared" si="7"/>
        <v>120.23848761725172</v>
      </c>
      <c r="G70" s="41">
        <f t="shared" si="8"/>
        <v>139.81835999999998</v>
      </c>
      <c r="H70" s="41">
        <f t="shared" si="9"/>
        <v>120.23848761725172</v>
      </c>
      <c r="I70" s="41">
        <f t="shared" si="10"/>
        <v>119.92860735382644</v>
      </c>
      <c r="J70" s="42">
        <f t="shared" ref="J70:J104" si="11">(H70-I70)</f>
        <v>0.30988026342528485</v>
      </c>
      <c r="K70" s="43">
        <v>1</v>
      </c>
      <c r="L70" s="44">
        <f>K70/(C70/'Run Model'!$F$8)</f>
        <v>4.6699875466998755</v>
      </c>
      <c r="M70" s="54">
        <f>IF(AND(L70&lt;='Run Model'!$F$9, J70&lt;=-150), 1, 0)</f>
        <v>0</v>
      </c>
      <c r="N70" s="1"/>
    </row>
    <row r="71" spans="1:14" x14ac:dyDescent="0.3">
      <c r="A71" s="53" t="s">
        <v>79</v>
      </c>
      <c r="B71" s="39">
        <v>6.68</v>
      </c>
      <c r="C71" s="40">
        <v>223417</v>
      </c>
      <c r="D71" s="41">
        <f t="shared" si="6"/>
        <v>1492.4255599999999</v>
      </c>
      <c r="E71" s="40">
        <v>596</v>
      </c>
      <c r="F71" s="41">
        <f t="shared" si="7"/>
        <v>645.60485243136952</v>
      </c>
      <c r="G71" s="41">
        <f t="shared" si="8"/>
        <v>895.45533599999987</v>
      </c>
      <c r="H71" s="41">
        <f t="shared" si="9"/>
        <v>645.60485243136952</v>
      </c>
      <c r="I71" s="41">
        <f t="shared" si="10"/>
        <v>768.07302985124932</v>
      </c>
      <c r="J71" s="42">
        <f t="shared" si="11"/>
        <v>-122.46817741987979</v>
      </c>
      <c r="K71" s="43">
        <v>4</v>
      </c>
      <c r="L71" s="44">
        <f>K71/(C71/'Run Model'!$F$8)</f>
        <v>1.3427805404244082</v>
      </c>
      <c r="M71" s="54">
        <f>IF(AND(L71&lt;='Run Model'!$F$9, J71&lt;=-150), 1, 0)</f>
        <v>0</v>
      </c>
      <c r="N71" s="1"/>
    </row>
    <row r="72" spans="1:14" x14ac:dyDescent="0.3">
      <c r="A72" s="53" t="s">
        <v>80</v>
      </c>
      <c r="B72" s="39">
        <v>5.84</v>
      </c>
      <c r="C72" s="40">
        <v>156792</v>
      </c>
      <c r="D72" s="41">
        <f t="shared" si="6"/>
        <v>915.66528000000005</v>
      </c>
      <c r="E72" s="40">
        <v>513</v>
      </c>
      <c r="F72" s="41">
        <f t="shared" si="7"/>
        <v>555.6967941229741</v>
      </c>
      <c r="G72" s="41">
        <f t="shared" si="8"/>
        <v>549.39916800000003</v>
      </c>
      <c r="H72" s="41">
        <f t="shared" si="9"/>
        <v>549.39916800000003</v>
      </c>
      <c r="I72" s="41">
        <f t="shared" si="10"/>
        <v>471.24481434048386</v>
      </c>
      <c r="J72" s="42">
        <f t="shared" si="11"/>
        <v>78.154353659516175</v>
      </c>
      <c r="K72" s="43">
        <v>3</v>
      </c>
      <c r="L72" s="44">
        <f>K72/(C72/'Run Model'!$F$8)</f>
        <v>1.4350221950099495</v>
      </c>
      <c r="M72" s="54">
        <f>IF(AND(L72&lt;='Run Model'!$F$9, J72&lt;=-150), 1, 0)</f>
        <v>0</v>
      </c>
      <c r="N72" s="1"/>
    </row>
    <row r="73" spans="1:14" x14ac:dyDescent="0.3">
      <c r="A73" s="53" t="s">
        <v>81</v>
      </c>
      <c r="B73" s="39">
        <v>14.77</v>
      </c>
      <c r="C73" s="40">
        <v>12917</v>
      </c>
      <c r="D73" s="41">
        <f t="shared" si="6"/>
        <v>190.78408999999999</v>
      </c>
      <c r="E73" s="40">
        <v>66</v>
      </c>
      <c r="F73" s="41">
        <f t="shared" si="7"/>
        <v>71.49315479944697</v>
      </c>
      <c r="G73" s="41">
        <f t="shared" si="8"/>
        <v>114.47045399999999</v>
      </c>
      <c r="H73" s="41">
        <f t="shared" si="9"/>
        <v>71.49315479944697</v>
      </c>
      <c r="I73" s="41">
        <f t="shared" si="10"/>
        <v>98.186548114140734</v>
      </c>
      <c r="J73" s="42">
        <f t="shared" si="11"/>
        <v>-26.693393314693765</v>
      </c>
      <c r="K73" s="43">
        <v>2</v>
      </c>
      <c r="L73" s="44">
        <f>K73/(C73/'Run Model'!$F$8)</f>
        <v>11.612603545714949</v>
      </c>
      <c r="M73" s="54">
        <f>IF(AND(L73&lt;='Run Model'!$F$9, J73&lt;=-150), 1, 0)</f>
        <v>0</v>
      </c>
      <c r="N73" s="1"/>
    </row>
    <row r="74" spans="1:14" x14ac:dyDescent="0.3">
      <c r="A74" s="53" t="s">
        <v>82</v>
      </c>
      <c r="B74" s="39">
        <v>10.5</v>
      </c>
      <c r="C74" s="40">
        <v>41339</v>
      </c>
      <c r="D74" s="41">
        <f t="shared" si="6"/>
        <v>434.05950000000001</v>
      </c>
      <c r="E74" s="40">
        <v>229</v>
      </c>
      <c r="F74" s="41">
        <f t="shared" si="7"/>
        <v>248.05958256171749</v>
      </c>
      <c r="G74" s="41">
        <f t="shared" si="8"/>
        <v>260.4357</v>
      </c>
      <c r="H74" s="41">
        <f t="shared" si="9"/>
        <v>248.05958256171749</v>
      </c>
      <c r="I74" s="41">
        <f t="shared" si="10"/>
        <v>223.3876209549228</v>
      </c>
      <c r="J74" s="42">
        <f t="shared" si="11"/>
        <v>24.671961606794696</v>
      </c>
      <c r="K74" s="43">
        <v>2</v>
      </c>
      <c r="L74" s="44">
        <f>K74/(C74/'Run Model'!$F$8)</f>
        <v>3.628534797648709</v>
      </c>
      <c r="M74" s="54">
        <f>IF(AND(L74&lt;='Run Model'!$F$9, J74&lt;=-150), 1, 0)</f>
        <v>0</v>
      </c>
      <c r="N74" s="1"/>
    </row>
    <row r="75" spans="1:14" x14ac:dyDescent="0.3">
      <c r="A75" s="53" t="s">
        <v>83</v>
      </c>
      <c r="B75" s="39">
        <v>10.210000000000001</v>
      </c>
      <c r="C75" s="40">
        <v>71539</v>
      </c>
      <c r="D75" s="41">
        <f t="shared" si="6"/>
        <v>730.4131900000001</v>
      </c>
      <c r="E75" s="40">
        <v>374</v>
      </c>
      <c r="F75" s="41">
        <f t="shared" si="7"/>
        <v>405.12787719686617</v>
      </c>
      <c r="G75" s="41">
        <f t="shared" si="8"/>
        <v>438.24791400000004</v>
      </c>
      <c r="H75" s="41">
        <f t="shared" si="9"/>
        <v>405.12787719686617</v>
      </c>
      <c r="I75" s="41">
        <f t="shared" si="10"/>
        <v>375.90529599788977</v>
      </c>
      <c r="J75" s="42">
        <f t="shared" si="11"/>
        <v>29.2225811989764</v>
      </c>
      <c r="K75" s="43">
        <v>3</v>
      </c>
      <c r="L75" s="44">
        <f>K75/(C75/'Run Model'!$F$8)</f>
        <v>3.1451376172437411</v>
      </c>
      <c r="M75" s="54">
        <f>IF(AND(L75&lt;='Run Model'!$F$9, J75&lt;=-150), 1, 0)</f>
        <v>0</v>
      </c>
      <c r="N75" s="1"/>
    </row>
    <row r="76" spans="1:14" x14ac:dyDescent="0.3">
      <c r="A76" s="53" t="s">
        <v>84</v>
      </c>
      <c r="B76" s="39">
        <v>12.73</v>
      </c>
      <c r="C76" s="40">
        <v>13713</v>
      </c>
      <c r="D76" s="41">
        <f t="shared" si="6"/>
        <v>174.56649000000002</v>
      </c>
      <c r="E76" s="40">
        <v>60</v>
      </c>
      <c r="F76" s="41">
        <f t="shared" si="7"/>
        <v>64.993777090406326</v>
      </c>
      <c r="G76" s="41">
        <f t="shared" si="8"/>
        <v>104.73989400000001</v>
      </c>
      <c r="H76" s="41">
        <f t="shared" si="9"/>
        <v>64.993777090406326</v>
      </c>
      <c r="I76" s="41">
        <f t="shared" si="10"/>
        <v>89.840201399926329</v>
      </c>
      <c r="J76" s="42">
        <f t="shared" si="11"/>
        <v>-24.846424309520003</v>
      </c>
      <c r="K76" s="43">
        <v>0</v>
      </c>
      <c r="L76" s="44">
        <f>K76/(C76/'Run Model'!$F$8)</f>
        <v>0</v>
      </c>
      <c r="M76" s="54">
        <f>IF(AND(L76&lt;='Run Model'!$F$9, J76&lt;=-150), 1, 0)</f>
        <v>0</v>
      </c>
      <c r="N76" s="1"/>
    </row>
    <row r="77" spans="1:14" x14ac:dyDescent="0.3">
      <c r="A77" s="53" t="s">
        <v>85</v>
      </c>
      <c r="B77" s="39">
        <v>12.41</v>
      </c>
      <c r="C77" s="40">
        <v>40229</v>
      </c>
      <c r="D77" s="41">
        <f t="shared" si="6"/>
        <v>499.24189000000001</v>
      </c>
      <c r="E77" s="40">
        <v>187</v>
      </c>
      <c r="F77" s="41">
        <f t="shared" si="7"/>
        <v>202.56393859843308</v>
      </c>
      <c r="G77" s="41">
        <f t="shared" si="8"/>
        <v>299.54513400000002</v>
      </c>
      <c r="H77" s="41">
        <f t="shared" si="9"/>
        <v>202.56393859843308</v>
      </c>
      <c r="I77" s="41">
        <f t="shared" si="10"/>
        <v>256.93357267411324</v>
      </c>
      <c r="J77" s="42">
        <f t="shared" si="11"/>
        <v>-54.369634075680153</v>
      </c>
      <c r="K77" s="43">
        <v>1</v>
      </c>
      <c r="L77" s="44">
        <f>K77/(C77/'Run Model'!$F$8)</f>
        <v>1.8643267294737627</v>
      </c>
      <c r="M77" s="54">
        <f>IF(AND(L77&lt;='Run Model'!$F$9, J77&lt;=-150), 1, 0)</f>
        <v>0</v>
      </c>
      <c r="N77" s="1"/>
    </row>
    <row r="78" spans="1:14" x14ac:dyDescent="0.3">
      <c r="A78" s="53" t="s">
        <v>86</v>
      </c>
      <c r="B78" s="39">
        <v>8.02</v>
      </c>
      <c r="C78" s="40">
        <v>178535</v>
      </c>
      <c r="D78" s="41">
        <f t="shared" si="6"/>
        <v>1431.8507</v>
      </c>
      <c r="E78" s="40">
        <v>811</v>
      </c>
      <c r="F78" s="41">
        <f t="shared" si="7"/>
        <v>878.49922033865892</v>
      </c>
      <c r="G78" s="41">
        <f t="shared" si="8"/>
        <v>859.11041999999998</v>
      </c>
      <c r="H78" s="41">
        <f t="shared" si="9"/>
        <v>859.11041999999998</v>
      </c>
      <c r="I78" s="41">
        <f t="shared" si="10"/>
        <v>736.89833176244463</v>
      </c>
      <c r="J78" s="42">
        <f t="shared" si="11"/>
        <v>122.21208823755535</v>
      </c>
      <c r="K78" s="43">
        <v>8</v>
      </c>
      <c r="L78" s="44">
        <f>K78/(C78/'Run Model'!$F$8)</f>
        <v>3.3606855798582913</v>
      </c>
      <c r="M78" s="54">
        <f>IF(AND(L78&lt;='Run Model'!$F$9, J78&lt;=-150), 1, 0)</f>
        <v>0</v>
      </c>
      <c r="N78" s="1"/>
    </row>
    <row r="79" spans="1:14" x14ac:dyDescent="0.3">
      <c r="A79" s="53" t="s">
        <v>87</v>
      </c>
      <c r="B79" s="39">
        <v>14.55</v>
      </c>
      <c r="C79" s="40">
        <v>19817</v>
      </c>
      <c r="D79" s="41">
        <f t="shared" si="6"/>
        <v>288.33735000000001</v>
      </c>
      <c r="E79" s="40">
        <v>105</v>
      </c>
      <c r="F79" s="41">
        <f t="shared" si="7"/>
        <v>113.73910990821108</v>
      </c>
      <c r="G79" s="41">
        <f t="shared" si="8"/>
        <v>173.00241</v>
      </c>
      <c r="H79" s="41">
        <f t="shared" si="9"/>
        <v>113.73910990821108</v>
      </c>
      <c r="I79" s="41">
        <f t="shared" si="10"/>
        <v>148.39208599039281</v>
      </c>
      <c r="J79" s="42">
        <f t="shared" si="11"/>
        <v>-34.652976082181738</v>
      </c>
      <c r="K79" s="43">
        <v>1</v>
      </c>
      <c r="L79" s="44">
        <f>K79/(C79/'Run Model'!$F$8)</f>
        <v>3.7846293586314781</v>
      </c>
      <c r="M79" s="54">
        <f>IF(AND(L79&lt;='Run Model'!$F$9, J79&lt;=-150), 1, 0)</f>
        <v>0</v>
      </c>
      <c r="N79" s="1"/>
    </row>
    <row r="80" spans="1:14" x14ac:dyDescent="0.3">
      <c r="A80" s="53" t="s">
        <v>88</v>
      </c>
      <c r="B80" s="39">
        <v>11.27</v>
      </c>
      <c r="C80" s="40">
        <v>150403</v>
      </c>
      <c r="D80" s="41">
        <f t="shared" si="6"/>
        <v>1695.0418099999997</v>
      </c>
      <c r="E80" s="40">
        <v>775</v>
      </c>
      <c r="F80" s="41">
        <f t="shared" si="7"/>
        <v>839.50295408441514</v>
      </c>
      <c r="G80" s="41">
        <f t="shared" si="8"/>
        <v>1017.0250859999998</v>
      </c>
      <c r="H80" s="41">
        <f t="shared" si="9"/>
        <v>839.50295408441514</v>
      </c>
      <c r="I80" s="41">
        <f t="shared" si="10"/>
        <v>872.34896910452642</v>
      </c>
      <c r="J80" s="42">
        <f t="shared" si="11"/>
        <v>-32.846015020111281</v>
      </c>
      <c r="K80" s="43">
        <v>3</v>
      </c>
      <c r="L80" s="44">
        <f>K80/(C80/'Run Model'!$F$8)</f>
        <v>1.4959807982553539</v>
      </c>
      <c r="M80" s="54">
        <f>IF(AND(L80&lt;='Run Model'!$F$9, J80&lt;=-150), 1, 0)</f>
        <v>0</v>
      </c>
      <c r="N80" s="1"/>
    </row>
    <row r="81" spans="1:14" x14ac:dyDescent="0.3">
      <c r="A81" s="53" t="s">
        <v>89</v>
      </c>
      <c r="B81" s="39">
        <v>13.03</v>
      </c>
      <c r="C81" s="40">
        <v>40941</v>
      </c>
      <c r="D81" s="41">
        <f t="shared" si="6"/>
        <v>533.46123</v>
      </c>
      <c r="E81" s="40">
        <v>297</v>
      </c>
      <c r="F81" s="41">
        <f t="shared" si="7"/>
        <v>321.71919659751137</v>
      </c>
      <c r="G81" s="41">
        <f t="shared" si="8"/>
        <v>320.07673799999998</v>
      </c>
      <c r="H81" s="41">
        <f t="shared" si="9"/>
        <v>320.07673799999998</v>
      </c>
      <c r="I81" s="41">
        <f t="shared" si="10"/>
        <v>274.54446922918834</v>
      </c>
      <c r="J81" s="42">
        <f t="shared" si="11"/>
        <v>45.53226877081164</v>
      </c>
      <c r="K81" s="43">
        <v>4</v>
      </c>
      <c r="L81" s="44">
        <f>K81/(C81/'Run Model'!$F$8)</f>
        <v>7.3276177914559968</v>
      </c>
      <c r="M81" s="54">
        <f>IF(AND(L81&lt;='Run Model'!$F$9, J81&lt;=-150), 1, 0)</f>
        <v>0</v>
      </c>
      <c r="N81" s="1"/>
    </row>
    <row r="82" spans="1:14" x14ac:dyDescent="0.3">
      <c r="A82" s="53" t="s">
        <v>90</v>
      </c>
      <c r="B82" s="39">
        <v>11.67</v>
      </c>
      <c r="C82" s="40">
        <v>115945</v>
      </c>
      <c r="D82" s="41">
        <f t="shared" si="6"/>
        <v>1353.0781499999998</v>
      </c>
      <c r="E82" s="40">
        <v>672</v>
      </c>
      <c r="F82" s="41">
        <f t="shared" si="7"/>
        <v>727.93030341255098</v>
      </c>
      <c r="G82" s="41">
        <f t="shared" si="8"/>
        <v>811.84688999999992</v>
      </c>
      <c r="H82" s="41">
        <f t="shared" si="9"/>
        <v>727.93030341255098</v>
      </c>
      <c r="I82" s="41">
        <f t="shared" si="10"/>
        <v>696.35823866218368</v>
      </c>
      <c r="J82" s="42">
        <f t="shared" si="11"/>
        <v>31.572064750367304</v>
      </c>
      <c r="K82" s="43">
        <v>6</v>
      </c>
      <c r="L82" s="44">
        <f>K82/(C82/'Run Model'!$F$8)</f>
        <v>3.8811505455172708</v>
      </c>
      <c r="M82" s="54">
        <f>IF(AND(L82&lt;='Run Model'!$F$9, J82&lt;=-150), 1, 0)</f>
        <v>0</v>
      </c>
      <c r="N82" s="1"/>
    </row>
    <row r="83" spans="1:14" x14ac:dyDescent="0.3">
      <c r="A83" s="53" t="s">
        <v>91</v>
      </c>
      <c r="B83" s="39">
        <v>13.44</v>
      </c>
      <c r="C83" s="40">
        <v>92416</v>
      </c>
      <c r="D83" s="41">
        <f t="shared" si="6"/>
        <v>1242.07104</v>
      </c>
      <c r="E83" s="40">
        <v>559</v>
      </c>
      <c r="F83" s="41">
        <f t="shared" si="7"/>
        <v>605.52535655895235</v>
      </c>
      <c r="G83" s="41">
        <f t="shared" si="8"/>
        <v>745.24262399999998</v>
      </c>
      <c r="H83" s="41">
        <f t="shared" si="9"/>
        <v>605.52535655895235</v>
      </c>
      <c r="I83" s="41">
        <f t="shared" si="10"/>
        <v>639.22871100069631</v>
      </c>
      <c r="J83" s="42">
        <f t="shared" si="11"/>
        <v>-33.703354441743954</v>
      </c>
      <c r="K83" s="43">
        <v>1</v>
      </c>
      <c r="L83" s="44">
        <f>K83/(C83/'Run Model'!$F$8)</f>
        <v>0.81154778393351801</v>
      </c>
      <c r="M83" s="54">
        <f>IF(AND(L83&lt;='Run Model'!$F$9, J83&lt;=-150), 1, 0)</f>
        <v>0</v>
      </c>
      <c r="N83" s="1"/>
    </row>
    <row r="84" spans="1:14" x14ac:dyDescent="0.3">
      <c r="A84" s="53" t="s">
        <v>92</v>
      </c>
      <c r="B84" s="39">
        <v>11.58</v>
      </c>
      <c r="C84" s="40">
        <v>155120</v>
      </c>
      <c r="D84" s="41">
        <f t="shared" si="6"/>
        <v>1796.2896000000001</v>
      </c>
      <c r="E84" s="40">
        <v>828</v>
      </c>
      <c r="F84" s="41">
        <f t="shared" si="7"/>
        <v>896.91412384760736</v>
      </c>
      <c r="G84" s="41">
        <f t="shared" si="8"/>
        <v>1077.77376</v>
      </c>
      <c r="H84" s="41">
        <f t="shared" si="9"/>
        <v>896.91412384760736</v>
      </c>
      <c r="I84" s="41">
        <f t="shared" si="10"/>
        <v>924.45588747641716</v>
      </c>
      <c r="J84" s="42">
        <f t="shared" si="11"/>
        <v>-27.541763628809804</v>
      </c>
      <c r="K84" s="43">
        <v>5</v>
      </c>
      <c r="L84" s="44">
        <f>K84/(C84/'Run Model'!$F$8)</f>
        <v>2.4174832387828777</v>
      </c>
      <c r="M84" s="54">
        <f>IF(AND(L84&lt;='Run Model'!$F$9, J84&lt;=-150), 1, 0)</f>
        <v>0</v>
      </c>
      <c r="N84" s="1"/>
    </row>
    <row r="85" spans="1:14" x14ac:dyDescent="0.3">
      <c r="A85" s="53" t="s">
        <v>93</v>
      </c>
      <c r="B85" s="39">
        <v>13.1</v>
      </c>
      <c r="C85" s="40">
        <v>65702</v>
      </c>
      <c r="D85" s="41">
        <f t="shared" si="6"/>
        <v>860.69619999999998</v>
      </c>
      <c r="E85" s="40">
        <v>565</v>
      </c>
      <c r="F85" s="41">
        <f t="shared" si="7"/>
        <v>612.02473426799293</v>
      </c>
      <c r="G85" s="41">
        <f t="shared" si="8"/>
        <v>516.41771999999992</v>
      </c>
      <c r="H85" s="41">
        <f t="shared" si="9"/>
        <v>516.41771999999992</v>
      </c>
      <c r="I85" s="41">
        <f t="shared" si="10"/>
        <v>442.95511671312897</v>
      </c>
      <c r="J85" s="42">
        <f t="shared" si="11"/>
        <v>73.462603286870944</v>
      </c>
      <c r="K85" s="43">
        <v>2</v>
      </c>
      <c r="L85" s="44">
        <f>K85/(C85/'Run Model'!$F$8)</f>
        <v>2.283035524032754</v>
      </c>
      <c r="M85" s="54">
        <f>IF(AND(L85&lt;='Run Model'!$F$9, J85&lt;=-150), 1, 0)</f>
        <v>0</v>
      </c>
      <c r="N85" s="1"/>
    </row>
    <row r="86" spans="1:14" x14ac:dyDescent="0.3">
      <c r="A86" s="53" t="s">
        <v>94</v>
      </c>
      <c r="B86" s="39">
        <v>11.41</v>
      </c>
      <c r="C86" s="40">
        <v>61352</v>
      </c>
      <c r="D86" s="41">
        <f t="shared" si="6"/>
        <v>700.02632000000006</v>
      </c>
      <c r="E86" s="40">
        <v>274</v>
      </c>
      <c r="F86" s="41">
        <f t="shared" si="7"/>
        <v>296.80491537952224</v>
      </c>
      <c r="G86" s="41">
        <f t="shared" si="8"/>
        <v>420.01579200000003</v>
      </c>
      <c r="H86" s="41">
        <f t="shared" si="9"/>
        <v>296.80491537952224</v>
      </c>
      <c r="I86" s="41">
        <f t="shared" si="10"/>
        <v>360.26677040965467</v>
      </c>
      <c r="J86" s="42">
        <f t="shared" si="11"/>
        <v>-63.461855030132426</v>
      </c>
      <c r="K86" s="43">
        <v>4</v>
      </c>
      <c r="L86" s="44">
        <f>K86/(C86/'Run Model'!$F$8)</f>
        <v>4.889816142913026</v>
      </c>
      <c r="M86" s="54">
        <f>IF(AND(L86&lt;='Run Model'!$F$9, J86&lt;=-150), 1, 0)</f>
        <v>0</v>
      </c>
      <c r="N86" s="1"/>
    </row>
    <row r="87" spans="1:14" x14ac:dyDescent="0.3">
      <c r="A87" s="53" t="s">
        <v>95</v>
      </c>
      <c r="B87" s="39">
        <v>12.18</v>
      </c>
      <c r="C87" s="40">
        <v>32743</v>
      </c>
      <c r="D87" s="41">
        <f t="shared" si="6"/>
        <v>398.80973999999998</v>
      </c>
      <c r="E87" s="40">
        <v>195</v>
      </c>
      <c r="F87" s="41">
        <f t="shared" si="7"/>
        <v>211.22977554382058</v>
      </c>
      <c r="G87" s="41">
        <f t="shared" si="8"/>
        <v>239.28584399999997</v>
      </c>
      <c r="H87" s="41">
        <f t="shared" si="9"/>
        <v>211.22977554382058</v>
      </c>
      <c r="I87" s="41">
        <f t="shared" si="10"/>
        <v>205.24642135986267</v>
      </c>
      <c r="J87" s="42">
        <f t="shared" si="11"/>
        <v>5.9833541839579141</v>
      </c>
      <c r="K87" s="43">
        <v>2</v>
      </c>
      <c r="L87" s="44">
        <f>K87/(C87/'Run Model'!$F$8)</f>
        <v>4.5811318449744984</v>
      </c>
      <c r="M87" s="54">
        <f>IF(AND(L87&lt;='Run Model'!$F$9, J87&lt;=-150), 1, 0)</f>
        <v>0</v>
      </c>
      <c r="N87" s="1"/>
    </row>
    <row r="88" spans="1:14" x14ac:dyDescent="0.3">
      <c r="A88" s="53" t="s">
        <v>96</v>
      </c>
      <c r="B88" s="39">
        <v>11.59</v>
      </c>
      <c r="C88" s="40">
        <v>66177</v>
      </c>
      <c r="D88" s="41">
        <f t="shared" si="6"/>
        <v>766.99142999999992</v>
      </c>
      <c r="E88" s="40">
        <v>362</v>
      </c>
      <c r="F88" s="41">
        <f t="shared" si="7"/>
        <v>392.12912177878485</v>
      </c>
      <c r="G88" s="41">
        <f t="shared" si="8"/>
        <v>460.19485799999995</v>
      </c>
      <c r="H88" s="41">
        <f t="shared" si="9"/>
        <v>392.12912177878485</v>
      </c>
      <c r="I88" s="41">
        <f t="shared" si="10"/>
        <v>394.73019445609225</v>
      </c>
      <c r="J88" s="42">
        <f t="shared" si="11"/>
        <v>-2.6010726773073998</v>
      </c>
      <c r="K88" s="43">
        <v>2</v>
      </c>
      <c r="L88" s="44">
        <f>K88/(C88/'Run Model'!$F$8)</f>
        <v>2.2666485334783988</v>
      </c>
      <c r="M88" s="54">
        <f>IF(AND(L88&lt;='Run Model'!$F$9, J88&lt;=-150), 1, 0)</f>
        <v>0</v>
      </c>
      <c r="N88" s="1"/>
    </row>
    <row r="89" spans="1:14" x14ac:dyDescent="0.3">
      <c r="A89" s="53" t="s">
        <v>97</v>
      </c>
      <c r="B89" s="39">
        <v>13.06</v>
      </c>
      <c r="C89" s="40">
        <v>46163</v>
      </c>
      <c r="D89" s="41">
        <f t="shared" si="6"/>
        <v>602.88878</v>
      </c>
      <c r="E89" s="40">
        <v>391</v>
      </c>
      <c r="F89" s="41">
        <f t="shared" si="7"/>
        <v>423.54278070581461</v>
      </c>
      <c r="G89" s="41">
        <f t="shared" si="8"/>
        <v>361.73326800000001</v>
      </c>
      <c r="H89" s="41">
        <f t="shared" si="9"/>
        <v>361.73326800000001</v>
      </c>
      <c r="I89" s="41">
        <f t="shared" si="10"/>
        <v>310.27518177718918</v>
      </c>
      <c r="J89" s="42">
        <f t="shared" si="11"/>
        <v>51.458086222810834</v>
      </c>
      <c r="K89" s="43">
        <v>1</v>
      </c>
      <c r="L89" s="44">
        <f>K89/(C89/'Run Model'!$F$8)</f>
        <v>1.6246777722418388</v>
      </c>
      <c r="M89" s="54">
        <f>IF(AND(L89&lt;='Run Model'!$F$9, J89&lt;=-150), 1, 0)</f>
        <v>0</v>
      </c>
      <c r="N89" s="1"/>
    </row>
    <row r="90" spans="1:14" x14ac:dyDescent="0.3">
      <c r="A90" s="53" t="s">
        <v>98</v>
      </c>
      <c r="B90" s="39">
        <v>13.84</v>
      </c>
      <c r="C90" s="40">
        <v>71775</v>
      </c>
      <c r="D90" s="41">
        <f t="shared" si="6"/>
        <v>993.36599999999999</v>
      </c>
      <c r="E90" s="40">
        <v>694</v>
      </c>
      <c r="F90" s="41">
        <f t="shared" si="7"/>
        <v>751.76135501236661</v>
      </c>
      <c r="G90" s="41">
        <f t="shared" si="8"/>
        <v>596.01959999999997</v>
      </c>
      <c r="H90" s="41">
        <f t="shared" si="9"/>
        <v>596.01959999999997</v>
      </c>
      <c r="I90" s="41">
        <f t="shared" si="10"/>
        <v>511.23329284927024</v>
      </c>
      <c r="J90" s="42">
        <f t="shared" si="11"/>
        <v>84.786307150729726</v>
      </c>
      <c r="K90" s="43">
        <v>4</v>
      </c>
      <c r="L90" s="44">
        <f>K90/(C90/'Run Model'!$F$8)</f>
        <v>4.179728317659352</v>
      </c>
      <c r="M90" s="54">
        <f>IF(AND(L90&lt;='Run Model'!$F$9, J90&lt;=-150), 1, 0)</f>
        <v>0</v>
      </c>
      <c r="N90" s="1"/>
    </row>
    <row r="91" spans="1:14" x14ac:dyDescent="0.3">
      <c r="A91" s="53" t="s">
        <v>99</v>
      </c>
      <c r="B91" s="39">
        <v>15.42</v>
      </c>
      <c r="C91" s="40">
        <v>13621</v>
      </c>
      <c r="D91" s="41">
        <f t="shared" si="6"/>
        <v>210.03582</v>
      </c>
      <c r="E91" s="40">
        <v>114</v>
      </c>
      <c r="F91" s="41">
        <f t="shared" si="7"/>
        <v>123.48817647177204</v>
      </c>
      <c r="G91" s="41">
        <f t="shared" si="8"/>
        <v>126.02149199999999</v>
      </c>
      <c r="H91" s="41">
        <f t="shared" si="9"/>
        <v>123.48817647177204</v>
      </c>
      <c r="I91" s="41">
        <f t="shared" si="10"/>
        <v>108.09440213868466</v>
      </c>
      <c r="J91" s="42">
        <f t="shared" si="11"/>
        <v>15.393774333087379</v>
      </c>
      <c r="K91" s="43">
        <v>0</v>
      </c>
      <c r="L91" s="44">
        <f>K91/(C91/'Run Model'!$F$8)</f>
        <v>0</v>
      </c>
      <c r="M91" s="54">
        <f>IF(AND(L91&lt;='Run Model'!$F$9, J91&lt;=-150), 1, 0)</f>
        <v>0</v>
      </c>
      <c r="N91" s="1"/>
    </row>
    <row r="92" spans="1:14" x14ac:dyDescent="0.3">
      <c r="A92" s="53" t="s">
        <v>100</v>
      </c>
      <c r="B92" s="39">
        <v>12.87</v>
      </c>
      <c r="C92" s="40">
        <v>33835</v>
      </c>
      <c r="D92" s="41">
        <f t="shared" si="6"/>
        <v>435.45644999999996</v>
      </c>
      <c r="E92" s="40">
        <v>230</v>
      </c>
      <c r="F92" s="41">
        <f t="shared" si="7"/>
        <v>249.14281217989094</v>
      </c>
      <c r="G92" s="41">
        <f t="shared" si="8"/>
        <v>261.27386999999999</v>
      </c>
      <c r="H92" s="41">
        <f t="shared" si="9"/>
        <v>249.14281217989094</v>
      </c>
      <c r="I92" s="41">
        <f t="shared" si="10"/>
        <v>224.10655772993397</v>
      </c>
      <c r="J92" s="42">
        <f t="shared" si="11"/>
        <v>25.036254449956971</v>
      </c>
      <c r="K92" s="43">
        <v>1</v>
      </c>
      <c r="L92" s="44">
        <f>K92/(C92/'Run Model'!$F$8)</f>
        <v>2.2166395744052019</v>
      </c>
      <c r="M92" s="54">
        <f>IF(AND(L92&lt;='Run Model'!$F$9, J92&lt;=-150), 1, 0)</f>
        <v>0</v>
      </c>
      <c r="N92" s="1"/>
    </row>
    <row r="93" spans="1:14" x14ac:dyDescent="0.3">
      <c r="A93" s="53" t="s">
        <v>101</v>
      </c>
      <c r="B93" s="39">
        <v>12.19</v>
      </c>
      <c r="C93" s="40">
        <v>3481</v>
      </c>
      <c r="D93" s="41">
        <f t="shared" si="6"/>
        <v>42.433390000000003</v>
      </c>
      <c r="E93" s="40">
        <v>12</v>
      </c>
      <c r="F93" s="41">
        <f t="shared" si="7"/>
        <v>12.998755418081267</v>
      </c>
      <c r="G93" s="41">
        <f t="shared" si="8"/>
        <v>25.460034</v>
      </c>
      <c r="H93" s="41">
        <f t="shared" si="9"/>
        <v>12.998755418081267</v>
      </c>
      <c r="I93" s="41">
        <f t="shared" si="10"/>
        <v>21.83823655778162</v>
      </c>
      <c r="J93" s="42">
        <f t="shared" si="11"/>
        <v>-8.8394811397003537</v>
      </c>
      <c r="K93" s="43">
        <v>0</v>
      </c>
      <c r="L93" s="44">
        <f>K93/(C93/'Run Model'!$F$8)</f>
        <v>0</v>
      </c>
      <c r="M93" s="54">
        <f>IF(AND(L93&lt;='Run Model'!$F$9, J93&lt;=-150), 1, 0)</f>
        <v>0</v>
      </c>
      <c r="N93" s="1"/>
    </row>
    <row r="94" spans="1:14" x14ac:dyDescent="0.3">
      <c r="A94" s="53" t="s">
        <v>102</v>
      </c>
      <c r="B94" s="39">
        <v>6.27</v>
      </c>
      <c r="C94" s="40">
        <v>287857</v>
      </c>
      <c r="D94" s="41">
        <f t="shared" si="6"/>
        <v>1804.86339</v>
      </c>
      <c r="E94" s="40">
        <v>1078</v>
      </c>
      <c r="F94" s="41">
        <f t="shared" si="7"/>
        <v>1167.721528390967</v>
      </c>
      <c r="G94" s="41">
        <f t="shared" si="8"/>
        <v>1082.918034</v>
      </c>
      <c r="H94" s="41">
        <f t="shared" si="9"/>
        <v>1082.918034</v>
      </c>
      <c r="I94" s="41">
        <f t="shared" si="10"/>
        <v>928.86836675786844</v>
      </c>
      <c r="J94" s="42">
        <f t="shared" si="11"/>
        <v>154.04966724213159</v>
      </c>
      <c r="K94" s="43">
        <v>3</v>
      </c>
      <c r="L94" s="44">
        <f>K94/(C94/'Run Model'!$F$8)</f>
        <v>0.7816381050313177</v>
      </c>
      <c r="M94" s="54">
        <f>IF(AND(L94&lt;='Run Model'!$F$9, J94&lt;=-150), 1, 0)</f>
        <v>0</v>
      </c>
      <c r="N94" s="1"/>
    </row>
    <row r="95" spans="1:14" x14ac:dyDescent="0.3">
      <c r="A95" s="53" t="s">
        <v>103</v>
      </c>
      <c r="B95" s="39">
        <v>12.1</v>
      </c>
      <c r="C95" s="40">
        <v>41224</v>
      </c>
      <c r="D95" s="41">
        <f t="shared" si="6"/>
        <v>498.81039999999996</v>
      </c>
      <c r="E95" s="40">
        <v>145</v>
      </c>
      <c r="F95" s="41">
        <f t="shared" si="7"/>
        <v>157.06829463514865</v>
      </c>
      <c r="G95" s="41">
        <f t="shared" si="8"/>
        <v>299.28623999999996</v>
      </c>
      <c r="H95" s="41">
        <f t="shared" si="9"/>
        <v>157.06829463514865</v>
      </c>
      <c r="I95" s="41">
        <f t="shared" si="10"/>
        <v>256.71150743981735</v>
      </c>
      <c r="J95" s="42">
        <f t="shared" si="11"/>
        <v>-99.643212804668707</v>
      </c>
      <c r="K95" s="43">
        <v>2</v>
      </c>
      <c r="L95" s="44">
        <f>K95/(C95/'Run Model'!$F$8)</f>
        <v>3.6386570929555599</v>
      </c>
      <c r="M95" s="54">
        <f>IF(AND(L95&lt;='Run Model'!$F$9, J95&lt;=-150), 1, 0)</f>
        <v>0</v>
      </c>
      <c r="N95" s="1"/>
    </row>
    <row r="96" spans="1:14" x14ac:dyDescent="0.3">
      <c r="A96" s="53" t="s">
        <v>104</v>
      </c>
      <c r="B96" s="39">
        <v>5.42</v>
      </c>
      <c r="C96" s="40">
        <v>1285926</v>
      </c>
      <c r="D96" s="41">
        <f t="shared" si="6"/>
        <v>6969.7189200000003</v>
      </c>
      <c r="E96" s="40">
        <v>3868</v>
      </c>
      <c r="F96" s="41">
        <f t="shared" si="7"/>
        <v>4189.9321630948616</v>
      </c>
      <c r="G96" s="41">
        <f t="shared" si="8"/>
        <v>4181.8313520000002</v>
      </c>
      <c r="H96" s="41">
        <f t="shared" si="9"/>
        <v>4181.8313520000002</v>
      </c>
      <c r="I96" s="41">
        <f t="shared" si="10"/>
        <v>3586.9481678509833</v>
      </c>
      <c r="J96" s="42">
        <f t="shared" si="11"/>
        <v>594.88318414901687</v>
      </c>
      <c r="K96" s="43">
        <v>7</v>
      </c>
      <c r="L96" s="44">
        <f>K96/(C96/'Run Model'!$F$8)</f>
        <v>0.40826610551462528</v>
      </c>
      <c r="M96" s="54">
        <f>IF(AND(L96&lt;='Run Model'!$F$9, J96&lt;=-150), 1, 0)</f>
        <v>0</v>
      </c>
      <c r="N96" s="1"/>
    </row>
    <row r="97" spans="1:15" x14ac:dyDescent="0.3">
      <c r="A97" s="53" t="s">
        <v>105</v>
      </c>
      <c r="B97" s="39">
        <v>13.12</v>
      </c>
      <c r="C97" s="40">
        <v>18746</v>
      </c>
      <c r="D97" s="41">
        <f t="shared" si="6"/>
        <v>245.94752</v>
      </c>
      <c r="E97" s="40">
        <v>73</v>
      </c>
      <c r="F97" s="41">
        <f t="shared" si="7"/>
        <v>79.075762126661033</v>
      </c>
      <c r="G97" s="41">
        <f t="shared" si="8"/>
        <v>147.568512</v>
      </c>
      <c r="H97" s="41">
        <f t="shared" si="9"/>
        <v>79.075762126661033</v>
      </c>
      <c r="I97" s="41">
        <f t="shared" si="10"/>
        <v>126.57626747614853</v>
      </c>
      <c r="J97" s="42">
        <f t="shared" si="11"/>
        <v>-47.500505349487497</v>
      </c>
      <c r="K97" s="43">
        <v>0</v>
      </c>
      <c r="L97" s="44">
        <f>K97/(C97/'Run Model'!$F$8)</f>
        <v>0</v>
      </c>
      <c r="M97" s="54">
        <f>IF(AND(L97&lt;='Run Model'!$F$9, J97&lt;=-150), 1, 0)</f>
        <v>0</v>
      </c>
      <c r="N97" s="1"/>
    </row>
    <row r="98" spans="1:15" x14ac:dyDescent="0.3">
      <c r="A98" s="53" t="s">
        <v>106</v>
      </c>
      <c r="B98" s="39">
        <v>14.23</v>
      </c>
      <c r="C98" s="40">
        <v>10161</v>
      </c>
      <c r="D98" s="41">
        <f t="shared" si="6"/>
        <v>144.59102999999999</v>
      </c>
      <c r="E98" s="40">
        <v>50</v>
      </c>
      <c r="F98" s="41">
        <f t="shared" si="7"/>
        <v>54.161480908671948</v>
      </c>
      <c r="G98" s="41">
        <f t="shared" si="8"/>
        <v>86.754617999999994</v>
      </c>
      <c r="H98" s="41">
        <f t="shared" si="9"/>
        <v>54.161480908671948</v>
      </c>
      <c r="I98" s="41">
        <f t="shared" si="10"/>
        <v>74.413406924907449</v>
      </c>
      <c r="J98" s="42">
        <f t="shared" si="11"/>
        <v>-20.251926016235501</v>
      </c>
      <c r="K98" s="43">
        <v>2</v>
      </c>
      <c r="L98" s="44">
        <f>K98/(C98/'Run Model'!$F$8)</f>
        <v>14.762326542663125</v>
      </c>
      <c r="M98" s="54">
        <f>IF(AND(L98&lt;='Run Model'!$F$9, J98&lt;=-150), 1, 0)</f>
        <v>0</v>
      </c>
      <c r="N98" s="1"/>
    </row>
    <row r="99" spans="1:15" x14ac:dyDescent="0.3">
      <c r="A99" s="53" t="s">
        <v>107</v>
      </c>
      <c r="B99" s="39">
        <v>6.78</v>
      </c>
      <c r="C99" s="40">
        <v>55111</v>
      </c>
      <c r="D99" s="41">
        <f t="shared" si="6"/>
        <v>373.65258</v>
      </c>
      <c r="E99" s="40">
        <v>260</v>
      </c>
      <c r="F99" s="41">
        <f t="shared" si="7"/>
        <v>281.63970072509409</v>
      </c>
      <c r="G99" s="41">
        <f t="shared" si="8"/>
        <v>224.19154799999998</v>
      </c>
      <c r="H99" s="41">
        <f t="shared" si="9"/>
        <v>224.19154799999998</v>
      </c>
      <c r="I99" s="41">
        <f t="shared" si="10"/>
        <v>192.29935276124348</v>
      </c>
      <c r="J99" s="42">
        <f t="shared" si="11"/>
        <v>31.8921952387565</v>
      </c>
      <c r="K99" s="43">
        <v>1</v>
      </c>
      <c r="L99" s="44">
        <f>K99/(C99/'Run Model'!$F$8)</f>
        <v>1.3608898405037106</v>
      </c>
      <c r="M99" s="54">
        <f>IF(AND(L99&lt;='Run Model'!$F$9, J99&lt;=-150), 1, 0)</f>
        <v>0</v>
      </c>
      <c r="N99" s="1"/>
    </row>
    <row r="100" spans="1:15" x14ac:dyDescent="0.3">
      <c r="A100" s="53" t="s">
        <v>108</v>
      </c>
      <c r="B100" s="39">
        <v>11.28</v>
      </c>
      <c r="C100" s="40">
        <v>119976</v>
      </c>
      <c r="D100" s="41">
        <f t="shared" si="6"/>
        <v>1353.3292799999999</v>
      </c>
      <c r="E100" s="40">
        <v>901</v>
      </c>
      <c r="F100" s="41">
        <f t="shared" si="7"/>
        <v>975.98988597426842</v>
      </c>
      <c r="G100" s="41">
        <f t="shared" si="8"/>
        <v>811.99756799999989</v>
      </c>
      <c r="H100" s="41">
        <f t="shared" si="9"/>
        <v>811.99756799999989</v>
      </c>
      <c r="I100" s="41">
        <f t="shared" si="10"/>
        <v>696.48748207984977</v>
      </c>
      <c r="J100" s="42">
        <f t="shared" si="11"/>
        <v>115.51008592015012</v>
      </c>
      <c r="K100" s="43">
        <v>4</v>
      </c>
      <c r="L100" s="44">
        <f>K100/(C100/'Run Model'!$F$8)</f>
        <v>2.500500100020004</v>
      </c>
      <c r="M100" s="54">
        <f>IF(AND(L100&lt;='Run Model'!$F$9, J100&lt;=-150), 1, 0)</f>
        <v>0</v>
      </c>
      <c r="N100" s="1"/>
    </row>
    <row r="101" spans="1:15" x14ac:dyDescent="0.3">
      <c r="A101" s="53" t="s">
        <v>109</v>
      </c>
      <c r="B101" s="39">
        <v>13.31</v>
      </c>
      <c r="C101" s="40">
        <v>66828</v>
      </c>
      <c r="D101" s="41">
        <f t="shared" si="6"/>
        <v>889.48068000000001</v>
      </c>
      <c r="E101" s="40">
        <v>369</v>
      </c>
      <c r="F101" s="41">
        <f t="shared" si="7"/>
        <v>399.71172910599893</v>
      </c>
      <c r="G101" s="41">
        <f t="shared" si="8"/>
        <v>533.68840799999998</v>
      </c>
      <c r="H101" s="41">
        <f t="shared" si="9"/>
        <v>399.71172910599893</v>
      </c>
      <c r="I101" s="41">
        <f t="shared" si="10"/>
        <v>457.76897635132275</v>
      </c>
      <c r="J101" s="42">
        <f t="shared" si="11"/>
        <v>-58.057247245323822</v>
      </c>
      <c r="K101" s="43">
        <v>3</v>
      </c>
      <c r="L101" s="44">
        <f>K101/(C101/'Run Model'!$F$8)</f>
        <v>3.3668522176333271</v>
      </c>
      <c r="M101" s="54">
        <f>IF(AND(L101&lt;='Run Model'!$F$9, J101&lt;=-150), 1, 0)</f>
        <v>0</v>
      </c>
      <c r="N101" s="1"/>
      <c r="O101" s="34"/>
    </row>
    <row r="102" spans="1:15" x14ac:dyDescent="0.3">
      <c r="A102" s="53" t="s">
        <v>110</v>
      </c>
      <c r="B102" s="39">
        <v>11.68</v>
      </c>
      <c r="C102" s="40">
        <v>79182</v>
      </c>
      <c r="D102" s="41">
        <f t="shared" si="6"/>
        <v>924.84576000000004</v>
      </c>
      <c r="E102" s="40">
        <v>379</v>
      </c>
      <c r="F102" s="41">
        <f t="shared" si="7"/>
        <v>410.54402528773335</v>
      </c>
      <c r="G102" s="41">
        <f t="shared" si="8"/>
        <v>554.90745600000002</v>
      </c>
      <c r="H102" s="41">
        <f t="shared" si="9"/>
        <v>410.54402528773335</v>
      </c>
      <c r="I102" s="41">
        <f t="shared" si="10"/>
        <v>475.96952509194591</v>
      </c>
      <c r="J102" s="42">
        <f t="shared" si="11"/>
        <v>-65.425499804212564</v>
      </c>
      <c r="K102" s="43">
        <v>4</v>
      </c>
      <c r="L102" s="44">
        <f>K102/(C102/'Run Model'!$F$8)</f>
        <v>3.7887398651208608</v>
      </c>
      <c r="M102" s="54">
        <f>IF(AND(L102&lt;='Run Model'!$F$9, J102&lt;=-150), 1, 0)</f>
        <v>0</v>
      </c>
      <c r="N102" s="1"/>
    </row>
    <row r="103" spans="1:15" x14ac:dyDescent="0.3">
      <c r="A103" s="53" t="s">
        <v>111</v>
      </c>
      <c r="B103" s="39">
        <v>12.51</v>
      </c>
      <c r="C103" s="40">
        <v>37723</v>
      </c>
      <c r="D103" s="41">
        <f t="shared" si="6"/>
        <v>471.91472999999996</v>
      </c>
      <c r="E103" s="40">
        <v>291</v>
      </c>
      <c r="F103" s="41">
        <f t="shared" si="7"/>
        <v>315.21981888847074</v>
      </c>
      <c r="G103" s="41">
        <f t="shared" si="8"/>
        <v>283.14883799999996</v>
      </c>
      <c r="H103" s="41">
        <f t="shared" si="9"/>
        <v>283.14883799999996</v>
      </c>
      <c r="I103" s="41">
        <f t="shared" si="10"/>
        <v>242.86971907834001</v>
      </c>
      <c r="J103" s="42">
        <f t="shared" si="11"/>
        <v>40.279118921659943</v>
      </c>
      <c r="K103" s="43">
        <v>2</v>
      </c>
      <c r="L103" s="44">
        <f>K103/(C103/'Run Model'!$F$8)</f>
        <v>3.9763539485194705</v>
      </c>
      <c r="M103" s="54">
        <f>IF(AND(L103&lt;='Run Model'!$F$9, J103&lt;=-150), 1, 0)</f>
        <v>0</v>
      </c>
      <c r="N103" s="1"/>
    </row>
    <row r="104" spans="1:15" ht="15" thickBot="1" x14ac:dyDescent="0.35">
      <c r="A104" s="55" t="s">
        <v>112</v>
      </c>
      <c r="B104" s="22">
        <v>14.53</v>
      </c>
      <c r="C104" s="56">
        <v>18650</v>
      </c>
      <c r="D104" s="57">
        <f t="shared" si="6"/>
        <v>270.98450000000003</v>
      </c>
      <c r="E104" s="56">
        <v>112</v>
      </c>
      <c r="F104" s="57">
        <f t="shared" si="7"/>
        <v>121.32171723542515</v>
      </c>
      <c r="G104" s="57">
        <f t="shared" si="8"/>
        <v>162.5907</v>
      </c>
      <c r="H104" s="57">
        <f t="shared" si="9"/>
        <v>121.32171723542515</v>
      </c>
      <c r="I104" s="57">
        <f t="shared" si="10"/>
        <v>139.46148574252902</v>
      </c>
      <c r="J104" s="58">
        <f t="shared" si="11"/>
        <v>-18.139768507103867</v>
      </c>
      <c r="K104" s="59">
        <v>1</v>
      </c>
      <c r="L104" s="60">
        <f>K104/(C104/'Run Model'!$F$8)</f>
        <v>4.0214477211796247</v>
      </c>
      <c r="M104" s="61">
        <f>IF(AND(L104&lt;='Run Model'!$F$9, J104&lt;=-150), 1, 0)</f>
        <v>0</v>
      </c>
      <c r="N104" s="1"/>
    </row>
    <row r="105" spans="1:15" s="34" customFormat="1" ht="15" thickBot="1" x14ac:dyDescent="0.35">
      <c r="A105" s="62" t="s">
        <v>150</v>
      </c>
      <c r="B105" s="63">
        <v>9.18</v>
      </c>
      <c r="C105" s="64">
        <f t="shared" ref="C105:K105" si="12">SUM(C5:C104)</f>
        <v>11364435</v>
      </c>
      <c r="D105" s="64">
        <f t="shared" si="12"/>
        <v>103269.44872999999</v>
      </c>
      <c r="E105" s="64">
        <f t="shared" si="12"/>
        <v>52891</v>
      </c>
      <c r="F105" s="64">
        <f t="shared" si="12"/>
        <v>57293.097734811352</v>
      </c>
      <c r="G105" s="64">
        <f t="shared" si="12"/>
        <v>61961.669238000009</v>
      </c>
      <c r="H105" s="64">
        <f t="shared" si="12"/>
        <v>54764.705271021514</v>
      </c>
      <c r="I105" s="64">
        <f t="shared" si="12"/>
        <v>53147.35991061377</v>
      </c>
      <c r="J105" s="65">
        <f t="shared" si="12"/>
        <v>1617.3453604077049</v>
      </c>
      <c r="K105" s="67">
        <f t="shared" si="12"/>
        <v>246</v>
      </c>
      <c r="L105" s="67">
        <f>K105/(C105/'Run Model'!$F$8)</f>
        <v>1.6234859014108487</v>
      </c>
      <c r="M105" s="66">
        <f>SUM(M5:M104)</f>
        <v>2</v>
      </c>
      <c r="N105" s="33"/>
      <c r="O105"/>
    </row>
    <row r="106" spans="1:15" ht="15" customHeight="1" x14ac:dyDescent="0.3">
      <c r="A106" s="81" t="s">
        <v>152</v>
      </c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1"/>
    </row>
  </sheetData>
  <sheetProtection algorithmName="SHA-512" hashValue="W4e/uBKyOfUEm5RH8AGm/hhlpRKwwE4DDkPh98iJTQ8nlFX0pURCHebvXfUBOKKWtqdKaEif/KF4fvF7Ci9AYw==" saltValue="g42xUbbPP0j2CVBLmSu6PA==" spinCount="100000" sheet="1" objects="1" scenarios="1"/>
  <mergeCells count="2">
    <mergeCell ref="A1:M1"/>
    <mergeCell ref="O2:O3"/>
  </mergeCells>
  <pageMargins left="0.7" right="0.7" top="0.75" bottom="0.75" header="0.3" footer="0.3"/>
  <pageSetup paperSize="17" orientation="landscape" r:id="rId1"/>
  <headerFooter>
    <oddFooter>&amp;L&amp;F&amp;C&amp;P</oddFooter>
  </headerFooter>
  <ignoredErrors>
    <ignoredError sqref="L10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90E23-B1C2-461B-9D2D-31D69698ACA1}">
  <dimension ref="A1:J102"/>
  <sheetViews>
    <sheetView zoomScale="110" zoomScaleNormal="110" workbookViewId="0">
      <selection activeCell="M29" sqref="M29"/>
    </sheetView>
  </sheetViews>
  <sheetFormatPr defaultColWidth="13.6640625" defaultRowHeight="14.4" x14ac:dyDescent="0.3"/>
  <cols>
    <col min="4" max="4" width="13" customWidth="1"/>
    <col min="5" max="5" width="18" customWidth="1"/>
    <col min="8" max="8" width="13" customWidth="1"/>
    <col min="9" max="9" width="18.21875" customWidth="1"/>
  </cols>
  <sheetData>
    <row r="1" spans="1:10" s="2" customFormat="1" ht="31.2" x14ac:dyDescent="0.3">
      <c r="A1" s="29" t="s">
        <v>113</v>
      </c>
      <c r="B1" s="29" t="s">
        <v>116</v>
      </c>
      <c r="C1" s="24" t="s">
        <v>117</v>
      </c>
      <c r="D1" s="24" t="s">
        <v>141</v>
      </c>
      <c r="E1" s="21" t="s">
        <v>143</v>
      </c>
      <c r="F1" s="24" t="s">
        <v>114</v>
      </c>
      <c r="G1" s="24" t="s">
        <v>115</v>
      </c>
      <c r="H1" s="24" t="s">
        <v>142</v>
      </c>
      <c r="I1" s="21" t="s">
        <v>144</v>
      </c>
      <c r="J1" s="28" t="s">
        <v>118</v>
      </c>
    </row>
    <row r="2" spans="1:10" x14ac:dyDescent="0.3">
      <c r="A2" s="22" t="s">
        <v>13</v>
      </c>
      <c r="B2" s="22">
        <v>1696</v>
      </c>
      <c r="C2" s="16">
        <v>1837</v>
      </c>
      <c r="D2" s="16">
        <v>1863</v>
      </c>
      <c r="E2" s="16">
        <f>SUM(B2:D2)</f>
        <v>5396</v>
      </c>
      <c r="F2" s="16">
        <v>166514</v>
      </c>
      <c r="G2" s="16">
        <v>169509</v>
      </c>
      <c r="H2" s="16">
        <v>183040</v>
      </c>
      <c r="I2" s="16">
        <f>SUM(F2:H2)</f>
        <v>519063</v>
      </c>
      <c r="J2" s="16">
        <f t="shared" ref="J2:J33" si="0">ROUND((E2/I2*100000)/100,2)</f>
        <v>10.4</v>
      </c>
    </row>
    <row r="3" spans="1:10" x14ac:dyDescent="0.3">
      <c r="A3" s="26" t="s">
        <v>14</v>
      </c>
      <c r="B3" s="26">
        <v>395</v>
      </c>
      <c r="C3" s="15">
        <v>409</v>
      </c>
      <c r="D3" s="15">
        <v>495</v>
      </c>
      <c r="E3" s="15">
        <f t="shared" ref="E3:E66" si="1">SUM(B3:D3)</f>
        <v>1299</v>
      </c>
      <c r="F3" s="15">
        <v>37331</v>
      </c>
      <c r="G3" s="15">
        <v>37497</v>
      </c>
      <c r="H3" s="15">
        <v>36693</v>
      </c>
      <c r="I3" s="15">
        <f t="shared" ref="I3:I66" si="2">SUM(F3:H3)</f>
        <v>111521</v>
      </c>
      <c r="J3" s="15">
        <f t="shared" si="0"/>
        <v>11.65</v>
      </c>
    </row>
    <row r="4" spans="1:10" x14ac:dyDescent="0.3">
      <c r="A4" s="26" t="s">
        <v>15</v>
      </c>
      <c r="B4" s="26">
        <v>147</v>
      </c>
      <c r="C4" s="15">
        <v>158</v>
      </c>
      <c r="D4" s="15">
        <v>175</v>
      </c>
      <c r="E4" s="15">
        <f t="shared" si="1"/>
        <v>480</v>
      </c>
      <c r="F4" s="15">
        <v>11138</v>
      </c>
      <c r="G4" s="15">
        <v>11137</v>
      </c>
      <c r="H4" s="15">
        <v>11379</v>
      </c>
      <c r="I4" s="15">
        <f t="shared" si="2"/>
        <v>33654</v>
      </c>
      <c r="J4" s="15">
        <f t="shared" si="0"/>
        <v>14.26</v>
      </c>
    </row>
    <row r="5" spans="1:10" x14ac:dyDescent="0.3">
      <c r="A5" s="26" t="s">
        <v>16</v>
      </c>
      <c r="B5" s="26">
        <v>319</v>
      </c>
      <c r="C5" s="15">
        <v>304</v>
      </c>
      <c r="D5" s="15">
        <v>319</v>
      </c>
      <c r="E5" s="15">
        <f t="shared" si="1"/>
        <v>942</v>
      </c>
      <c r="F5" s="15">
        <v>24470</v>
      </c>
      <c r="G5" s="15">
        <v>24446</v>
      </c>
      <c r="H5" s="15">
        <v>22432</v>
      </c>
      <c r="I5" s="15">
        <f t="shared" si="2"/>
        <v>71348</v>
      </c>
      <c r="J5" s="15">
        <f t="shared" si="0"/>
        <v>13.2</v>
      </c>
    </row>
    <row r="6" spans="1:10" x14ac:dyDescent="0.3">
      <c r="A6" s="26" t="s">
        <v>17</v>
      </c>
      <c r="B6" s="26">
        <v>340</v>
      </c>
      <c r="C6" s="15">
        <v>370</v>
      </c>
      <c r="D6" s="15">
        <v>420</v>
      </c>
      <c r="E6" s="15">
        <f t="shared" si="1"/>
        <v>1130</v>
      </c>
      <c r="F6" s="15">
        <v>27099</v>
      </c>
      <c r="G6" s="15">
        <v>27203</v>
      </c>
      <c r="H6" s="15">
        <v>27266</v>
      </c>
      <c r="I6" s="15">
        <f t="shared" si="2"/>
        <v>81568</v>
      </c>
      <c r="J6" s="15">
        <f t="shared" si="0"/>
        <v>13.85</v>
      </c>
    </row>
    <row r="7" spans="1:10" x14ac:dyDescent="0.3">
      <c r="A7" s="26" t="s">
        <v>18</v>
      </c>
      <c r="B7" s="26">
        <v>212</v>
      </c>
      <c r="C7" s="15">
        <v>242</v>
      </c>
      <c r="D7" s="15">
        <v>250</v>
      </c>
      <c r="E7" s="15">
        <f t="shared" si="1"/>
        <v>704</v>
      </c>
      <c r="F7" s="15">
        <v>17528</v>
      </c>
      <c r="G7" s="15">
        <v>17557</v>
      </c>
      <c r="H7" s="15">
        <v>17811</v>
      </c>
      <c r="I7" s="15">
        <f t="shared" si="2"/>
        <v>52896</v>
      </c>
      <c r="J7" s="15">
        <f t="shared" si="0"/>
        <v>13.31</v>
      </c>
    </row>
    <row r="8" spans="1:10" x14ac:dyDescent="0.3">
      <c r="A8" s="26" t="s">
        <v>19</v>
      </c>
      <c r="B8" s="26">
        <v>625</v>
      </c>
      <c r="C8" s="15">
        <v>584</v>
      </c>
      <c r="D8" s="15">
        <v>623</v>
      </c>
      <c r="E8" s="15">
        <f t="shared" si="1"/>
        <v>1832</v>
      </c>
      <c r="F8" s="15">
        <v>47056</v>
      </c>
      <c r="G8" s="15">
        <v>46994</v>
      </c>
      <c r="H8" s="15">
        <v>44576</v>
      </c>
      <c r="I8" s="15">
        <f t="shared" si="2"/>
        <v>138626</v>
      </c>
      <c r="J8" s="15">
        <f t="shared" si="0"/>
        <v>13.22</v>
      </c>
    </row>
    <row r="9" spans="1:10" x14ac:dyDescent="0.3">
      <c r="A9" s="26" t="s">
        <v>20</v>
      </c>
      <c r="B9" s="26">
        <v>253</v>
      </c>
      <c r="C9" s="15">
        <v>255</v>
      </c>
      <c r="D9" s="15">
        <v>300</v>
      </c>
      <c r="E9" s="15">
        <f t="shared" si="1"/>
        <v>808</v>
      </c>
      <c r="F9" s="15">
        <v>19106</v>
      </c>
      <c r="G9" s="15">
        <v>18947</v>
      </c>
      <c r="H9" s="15">
        <v>16939</v>
      </c>
      <c r="I9" s="15">
        <f t="shared" si="2"/>
        <v>54992</v>
      </c>
      <c r="J9" s="15">
        <f t="shared" si="0"/>
        <v>14.69</v>
      </c>
    </row>
    <row r="10" spans="1:10" x14ac:dyDescent="0.3">
      <c r="A10" s="26" t="s">
        <v>21</v>
      </c>
      <c r="B10" s="26">
        <v>429</v>
      </c>
      <c r="C10" s="15">
        <v>421</v>
      </c>
      <c r="D10" s="15">
        <v>485</v>
      </c>
      <c r="E10" s="15">
        <f t="shared" si="1"/>
        <v>1335</v>
      </c>
      <c r="F10" s="15">
        <v>33151</v>
      </c>
      <c r="G10" s="15">
        <v>32722</v>
      </c>
      <c r="H10" s="15">
        <v>29777</v>
      </c>
      <c r="I10" s="15">
        <f t="shared" si="2"/>
        <v>95650</v>
      </c>
      <c r="J10" s="15">
        <f t="shared" si="0"/>
        <v>13.96</v>
      </c>
    </row>
    <row r="11" spans="1:10" x14ac:dyDescent="0.3">
      <c r="A11" s="26" t="s">
        <v>22</v>
      </c>
      <c r="B11" s="26">
        <v>1506</v>
      </c>
      <c r="C11" s="15">
        <v>1621</v>
      </c>
      <c r="D11" s="15">
        <v>1881</v>
      </c>
      <c r="E11" s="15">
        <f t="shared" si="1"/>
        <v>5008</v>
      </c>
      <c r="F11" s="15">
        <v>136880</v>
      </c>
      <c r="G11" s="15">
        <v>142820</v>
      </c>
      <c r="H11" s="15">
        <v>167112</v>
      </c>
      <c r="I11" s="15">
        <f t="shared" si="2"/>
        <v>446812</v>
      </c>
      <c r="J11" s="15">
        <f t="shared" si="0"/>
        <v>11.21</v>
      </c>
    </row>
    <row r="12" spans="1:10" x14ac:dyDescent="0.3">
      <c r="A12" s="26" t="s">
        <v>23</v>
      </c>
      <c r="B12" s="26">
        <v>2739</v>
      </c>
      <c r="C12" s="15">
        <v>2611</v>
      </c>
      <c r="D12" s="15">
        <v>2809</v>
      </c>
      <c r="E12" s="15">
        <f t="shared" si="1"/>
        <v>8159</v>
      </c>
      <c r="F12" s="15">
        <v>259259</v>
      </c>
      <c r="G12" s="15">
        <v>261191</v>
      </c>
      <c r="H12" s="15">
        <v>279210</v>
      </c>
      <c r="I12" s="15">
        <f t="shared" si="2"/>
        <v>799660</v>
      </c>
      <c r="J12" s="15">
        <f t="shared" si="0"/>
        <v>10.199999999999999</v>
      </c>
    </row>
    <row r="13" spans="1:10" x14ac:dyDescent="0.3">
      <c r="A13" s="26" t="s">
        <v>24</v>
      </c>
      <c r="B13" s="26">
        <v>1040</v>
      </c>
      <c r="C13" s="15">
        <v>1070</v>
      </c>
      <c r="D13" s="15">
        <v>1259</v>
      </c>
      <c r="E13" s="15">
        <f t="shared" si="1"/>
        <v>3369</v>
      </c>
      <c r="F13" s="15">
        <v>90405</v>
      </c>
      <c r="G13" s="15">
        <v>90485</v>
      </c>
      <c r="H13" s="15">
        <v>88545</v>
      </c>
      <c r="I13" s="15">
        <f t="shared" si="2"/>
        <v>269435</v>
      </c>
      <c r="J13" s="15">
        <f t="shared" si="0"/>
        <v>12.5</v>
      </c>
    </row>
    <row r="14" spans="1:10" x14ac:dyDescent="0.3">
      <c r="A14" s="26" t="s">
        <v>25</v>
      </c>
      <c r="B14" s="26">
        <v>1565</v>
      </c>
      <c r="C14" s="15">
        <v>1636</v>
      </c>
      <c r="D14" s="15">
        <v>1767</v>
      </c>
      <c r="E14" s="15">
        <f t="shared" si="1"/>
        <v>4968</v>
      </c>
      <c r="F14" s="15">
        <v>211597</v>
      </c>
      <c r="G14" s="15">
        <v>216453</v>
      </c>
      <c r="H14" s="15">
        <v>244925</v>
      </c>
      <c r="I14" s="15">
        <f t="shared" si="2"/>
        <v>672975</v>
      </c>
      <c r="J14" s="15">
        <f t="shared" si="0"/>
        <v>7.38</v>
      </c>
    </row>
    <row r="15" spans="1:10" x14ac:dyDescent="0.3">
      <c r="A15" s="26" t="s">
        <v>26</v>
      </c>
      <c r="B15" s="26">
        <v>962</v>
      </c>
      <c r="C15" s="15">
        <v>1051</v>
      </c>
      <c r="D15" s="15">
        <v>1112</v>
      </c>
      <c r="E15" s="15">
        <f t="shared" si="1"/>
        <v>3125</v>
      </c>
      <c r="F15" s="15">
        <v>82026</v>
      </c>
      <c r="G15" s="15">
        <v>82178</v>
      </c>
      <c r="H15" s="15">
        <v>80739</v>
      </c>
      <c r="I15" s="15">
        <f t="shared" si="2"/>
        <v>244943</v>
      </c>
      <c r="J15" s="15">
        <f t="shared" si="0"/>
        <v>12.76</v>
      </c>
    </row>
    <row r="16" spans="1:10" x14ac:dyDescent="0.3">
      <c r="A16" s="26" t="s">
        <v>27</v>
      </c>
      <c r="B16" s="26">
        <v>87</v>
      </c>
      <c r="C16" s="15">
        <v>97</v>
      </c>
      <c r="D16" s="15">
        <v>89</v>
      </c>
      <c r="E16" s="15">
        <f t="shared" si="1"/>
        <v>273</v>
      </c>
      <c r="F16" s="15">
        <v>10676</v>
      </c>
      <c r="G16" s="15">
        <v>10867</v>
      </c>
      <c r="H16" s="15">
        <v>11184</v>
      </c>
      <c r="I16" s="15">
        <f t="shared" si="2"/>
        <v>32727</v>
      </c>
      <c r="J16" s="15">
        <f t="shared" si="0"/>
        <v>8.34</v>
      </c>
    </row>
    <row r="17" spans="1:10" x14ac:dyDescent="0.3">
      <c r="A17" s="26" t="s">
        <v>28</v>
      </c>
      <c r="B17" s="26">
        <v>951</v>
      </c>
      <c r="C17" s="15">
        <v>891</v>
      </c>
      <c r="D17" s="15">
        <v>908</v>
      </c>
      <c r="E17" s="15">
        <f t="shared" si="1"/>
        <v>2750</v>
      </c>
      <c r="F17" s="15">
        <v>69438</v>
      </c>
      <c r="G17" s="15">
        <v>69473</v>
      </c>
      <c r="H17" s="15">
        <v>70259</v>
      </c>
      <c r="I17" s="15">
        <f t="shared" si="2"/>
        <v>209170</v>
      </c>
      <c r="J17" s="15">
        <f t="shared" si="0"/>
        <v>13.15</v>
      </c>
    </row>
    <row r="18" spans="1:10" x14ac:dyDescent="0.3">
      <c r="A18" s="26" t="s">
        <v>29</v>
      </c>
      <c r="B18" s="26">
        <v>280</v>
      </c>
      <c r="C18" s="15">
        <v>296</v>
      </c>
      <c r="D18" s="15">
        <v>291</v>
      </c>
      <c r="E18" s="15">
        <f t="shared" si="1"/>
        <v>867</v>
      </c>
      <c r="F18" s="15">
        <v>22634</v>
      </c>
      <c r="G18" s="15">
        <v>22604</v>
      </c>
      <c r="H18" s="15">
        <v>22363</v>
      </c>
      <c r="I18" s="15">
        <f t="shared" si="2"/>
        <v>67601</v>
      </c>
      <c r="J18" s="15">
        <f t="shared" si="0"/>
        <v>12.83</v>
      </c>
    </row>
    <row r="19" spans="1:10" x14ac:dyDescent="0.3">
      <c r="A19" s="26" t="s">
        <v>30</v>
      </c>
      <c r="B19" s="26">
        <v>1719</v>
      </c>
      <c r="C19" s="15">
        <v>1643</v>
      </c>
      <c r="D19" s="15">
        <v>1901</v>
      </c>
      <c r="E19" s="15">
        <f t="shared" si="1"/>
        <v>5263</v>
      </c>
      <c r="F19" s="15">
        <v>158687</v>
      </c>
      <c r="G19" s="15">
        <v>159551</v>
      </c>
      <c r="H19" s="15">
        <v>167054</v>
      </c>
      <c r="I19" s="15">
        <f t="shared" si="2"/>
        <v>485292</v>
      </c>
      <c r="J19" s="15">
        <f t="shared" si="0"/>
        <v>10.85</v>
      </c>
    </row>
    <row r="20" spans="1:10" x14ac:dyDescent="0.3">
      <c r="A20" s="26" t="s">
        <v>31</v>
      </c>
      <c r="B20" s="26">
        <v>738</v>
      </c>
      <c r="C20" s="15">
        <v>769</v>
      </c>
      <c r="D20" s="15">
        <v>866</v>
      </c>
      <c r="E20" s="15">
        <f t="shared" si="1"/>
        <v>2373</v>
      </c>
      <c r="F20" s="15">
        <v>73127</v>
      </c>
      <c r="G20" s="15">
        <v>74470</v>
      </c>
      <c r="H20" s="15">
        <v>83874</v>
      </c>
      <c r="I20" s="15">
        <f t="shared" si="2"/>
        <v>231471</v>
      </c>
      <c r="J20" s="15">
        <f t="shared" si="0"/>
        <v>10.25</v>
      </c>
    </row>
    <row r="21" spans="1:10" x14ac:dyDescent="0.3">
      <c r="A21" s="26" t="s">
        <v>32</v>
      </c>
      <c r="B21" s="26">
        <v>404</v>
      </c>
      <c r="C21" s="15">
        <v>412</v>
      </c>
      <c r="D21" s="15">
        <v>378</v>
      </c>
      <c r="E21" s="15">
        <f t="shared" si="1"/>
        <v>1194</v>
      </c>
      <c r="F21" s="15">
        <v>28369</v>
      </c>
      <c r="G21" s="15">
        <v>28612</v>
      </c>
      <c r="H21" s="15">
        <v>30373</v>
      </c>
      <c r="I21" s="15">
        <f t="shared" si="2"/>
        <v>87354</v>
      </c>
      <c r="J21" s="15">
        <f t="shared" si="0"/>
        <v>13.67</v>
      </c>
    </row>
    <row r="22" spans="1:10" x14ac:dyDescent="0.3">
      <c r="A22" s="26" t="s">
        <v>33</v>
      </c>
      <c r="B22" s="26">
        <v>179</v>
      </c>
      <c r="C22" s="15">
        <v>227</v>
      </c>
      <c r="D22" s="15">
        <v>196</v>
      </c>
      <c r="E22" s="15">
        <f t="shared" si="1"/>
        <v>602</v>
      </c>
      <c r="F22" s="15">
        <v>14065</v>
      </c>
      <c r="G22" s="15">
        <v>13943</v>
      </c>
      <c r="H22" s="15">
        <v>13891</v>
      </c>
      <c r="I22" s="15">
        <f t="shared" si="2"/>
        <v>41899</v>
      </c>
      <c r="J22" s="15">
        <f t="shared" si="0"/>
        <v>14.37</v>
      </c>
    </row>
    <row r="23" spans="1:10" x14ac:dyDescent="0.3">
      <c r="A23" s="26" t="s">
        <v>34</v>
      </c>
      <c r="B23" s="26">
        <v>162</v>
      </c>
      <c r="C23" s="15">
        <v>156</v>
      </c>
      <c r="D23" s="15">
        <v>128</v>
      </c>
      <c r="E23" s="15">
        <f t="shared" si="1"/>
        <v>446</v>
      </c>
      <c r="F23" s="15">
        <v>11124</v>
      </c>
      <c r="G23" s="15">
        <v>11231</v>
      </c>
      <c r="H23" s="15">
        <v>12042</v>
      </c>
      <c r="I23" s="15">
        <f t="shared" si="2"/>
        <v>34397</v>
      </c>
      <c r="J23" s="15">
        <f t="shared" si="0"/>
        <v>12.97</v>
      </c>
    </row>
    <row r="24" spans="1:10" x14ac:dyDescent="0.3">
      <c r="A24" s="26" t="s">
        <v>35</v>
      </c>
      <c r="B24" s="26">
        <v>1249</v>
      </c>
      <c r="C24" s="15">
        <v>1276</v>
      </c>
      <c r="D24" s="15">
        <v>1313</v>
      </c>
      <c r="E24" s="15">
        <f t="shared" si="1"/>
        <v>3838</v>
      </c>
      <c r="F24" s="15">
        <v>97519</v>
      </c>
      <c r="G24" s="15">
        <v>97947</v>
      </c>
      <c r="H24" s="15">
        <v>102194</v>
      </c>
      <c r="I24" s="15">
        <f t="shared" si="2"/>
        <v>297660</v>
      </c>
      <c r="J24" s="15">
        <f t="shared" si="0"/>
        <v>12.89</v>
      </c>
    </row>
    <row r="25" spans="1:10" x14ac:dyDescent="0.3">
      <c r="A25" s="26" t="s">
        <v>36</v>
      </c>
      <c r="B25" s="26">
        <v>661</v>
      </c>
      <c r="C25" s="15">
        <v>758</v>
      </c>
      <c r="D25" s="15">
        <v>721</v>
      </c>
      <c r="E25" s="15">
        <f t="shared" si="1"/>
        <v>2140</v>
      </c>
      <c r="F25" s="15">
        <v>55819</v>
      </c>
      <c r="G25" s="15">
        <v>55508</v>
      </c>
      <c r="H25" s="15">
        <v>50054</v>
      </c>
      <c r="I25" s="15">
        <f t="shared" si="2"/>
        <v>161381</v>
      </c>
      <c r="J25" s="15">
        <f t="shared" si="0"/>
        <v>13.26</v>
      </c>
    </row>
    <row r="26" spans="1:10" x14ac:dyDescent="0.3">
      <c r="A26" s="26" t="s">
        <v>37</v>
      </c>
      <c r="B26" s="26">
        <v>1148</v>
      </c>
      <c r="C26" s="15">
        <v>1131</v>
      </c>
      <c r="D26" s="15">
        <v>1209</v>
      </c>
      <c r="E26" s="15">
        <f t="shared" si="1"/>
        <v>3488</v>
      </c>
      <c r="F26" s="15">
        <v>102338</v>
      </c>
      <c r="G26" s="15">
        <v>102139</v>
      </c>
      <c r="H26" s="15">
        <v>104167</v>
      </c>
      <c r="I26" s="15">
        <f t="shared" si="2"/>
        <v>308644</v>
      </c>
      <c r="J26" s="15">
        <f t="shared" si="0"/>
        <v>11.3</v>
      </c>
    </row>
    <row r="27" spans="1:10" x14ac:dyDescent="0.3">
      <c r="A27" s="26" t="s">
        <v>38</v>
      </c>
      <c r="B27" s="26">
        <v>2648</v>
      </c>
      <c r="C27" s="15">
        <v>2728</v>
      </c>
      <c r="D27" s="15">
        <v>3029</v>
      </c>
      <c r="E27" s="15">
        <f t="shared" si="1"/>
        <v>8405</v>
      </c>
      <c r="F27" s="15">
        <v>333430</v>
      </c>
      <c r="G27" s="15">
        <v>335509</v>
      </c>
      <c r="H27" s="15">
        <v>338430</v>
      </c>
      <c r="I27" s="15">
        <f t="shared" si="2"/>
        <v>1007369</v>
      </c>
      <c r="J27" s="15">
        <f t="shared" si="0"/>
        <v>8.34</v>
      </c>
    </row>
    <row r="28" spans="1:10" x14ac:dyDescent="0.3">
      <c r="A28" s="26" t="s">
        <v>39</v>
      </c>
      <c r="B28" s="26">
        <v>254</v>
      </c>
      <c r="C28" s="15">
        <v>213</v>
      </c>
      <c r="D28" s="15">
        <v>208</v>
      </c>
      <c r="E28" s="15">
        <f t="shared" si="1"/>
        <v>675</v>
      </c>
      <c r="F28" s="15">
        <v>27016</v>
      </c>
      <c r="G28" s="15">
        <v>27763</v>
      </c>
      <c r="H28" s="15">
        <v>32278</v>
      </c>
      <c r="I28" s="15">
        <f t="shared" si="2"/>
        <v>87057</v>
      </c>
      <c r="J28" s="15">
        <f t="shared" si="0"/>
        <v>7.75</v>
      </c>
    </row>
    <row r="29" spans="1:10" x14ac:dyDescent="0.3">
      <c r="A29" s="26" t="s">
        <v>40</v>
      </c>
      <c r="B29" s="26">
        <v>397</v>
      </c>
      <c r="C29" s="15">
        <v>355</v>
      </c>
      <c r="D29" s="15">
        <v>328</v>
      </c>
      <c r="E29" s="15">
        <f t="shared" si="1"/>
        <v>1080</v>
      </c>
      <c r="F29" s="15">
        <v>36607</v>
      </c>
      <c r="G29" s="15">
        <v>37009</v>
      </c>
      <c r="H29" s="15">
        <v>38183</v>
      </c>
      <c r="I29" s="15">
        <f t="shared" si="2"/>
        <v>111799</v>
      </c>
      <c r="J29" s="15">
        <f t="shared" si="0"/>
        <v>9.66</v>
      </c>
    </row>
    <row r="30" spans="1:10" x14ac:dyDescent="0.3">
      <c r="A30" s="26" t="s">
        <v>41</v>
      </c>
      <c r="B30" s="26">
        <v>1855</v>
      </c>
      <c r="C30" s="15">
        <v>1871</v>
      </c>
      <c r="D30" s="15">
        <v>2048</v>
      </c>
      <c r="E30" s="15">
        <f t="shared" si="1"/>
        <v>5774</v>
      </c>
      <c r="F30" s="15">
        <v>166358</v>
      </c>
      <c r="G30" s="15">
        <v>167609</v>
      </c>
      <c r="H30" s="15">
        <v>177809</v>
      </c>
      <c r="I30" s="15">
        <f t="shared" si="2"/>
        <v>511776</v>
      </c>
      <c r="J30" s="15">
        <f t="shared" si="0"/>
        <v>11.28</v>
      </c>
    </row>
    <row r="31" spans="1:10" x14ac:dyDescent="0.3">
      <c r="A31" s="26" t="s">
        <v>42</v>
      </c>
      <c r="B31" s="26">
        <v>452</v>
      </c>
      <c r="C31" s="15">
        <v>495</v>
      </c>
      <c r="D31" s="15">
        <v>544</v>
      </c>
      <c r="E31" s="15">
        <f t="shared" si="1"/>
        <v>1491</v>
      </c>
      <c r="F31" s="15">
        <v>42563</v>
      </c>
      <c r="G31" s="15">
        <v>42846</v>
      </c>
      <c r="H31" s="15">
        <v>45383</v>
      </c>
      <c r="I31" s="15">
        <f t="shared" si="2"/>
        <v>130792</v>
      </c>
      <c r="J31" s="15">
        <f t="shared" si="0"/>
        <v>11.4</v>
      </c>
    </row>
    <row r="32" spans="1:10" x14ac:dyDescent="0.3">
      <c r="A32" s="26" t="s">
        <v>43</v>
      </c>
      <c r="B32" s="26">
        <v>522</v>
      </c>
      <c r="C32" s="15">
        <v>564</v>
      </c>
      <c r="D32" s="15">
        <v>651</v>
      </c>
      <c r="E32" s="15">
        <f t="shared" si="1"/>
        <v>1737</v>
      </c>
      <c r="F32" s="15">
        <v>58991</v>
      </c>
      <c r="G32" s="15">
        <v>58741</v>
      </c>
      <c r="H32" s="15">
        <v>50539</v>
      </c>
      <c r="I32" s="15">
        <f t="shared" si="2"/>
        <v>168271</v>
      </c>
      <c r="J32" s="15">
        <f t="shared" si="0"/>
        <v>10.32</v>
      </c>
    </row>
    <row r="33" spans="1:10" x14ac:dyDescent="0.3">
      <c r="A33" s="26" t="s">
        <v>44</v>
      </c>
      <c r="B33" s="26">
        <v>2069</v>
      </c>
      <c r="C33" s="15">
        <v>2185</v>
      </c>
      <c r="D33" s="15">
        <v>2189</v>
      </c>
      <c r="E33" s="15">
        <f t="shared" si="1"/>
        <v>6443</v>
      </c>
      <c r="F33" s="15">
        <v>316979</v>
      </c>
      <c r="G33" s="15">
        <v>321488</v>
      </c>
      <c r="H33" s="15">
        <v>343628</v>
      </c>
      <c r="I33" s="15">
        <f t="shared" si="2"/>
        <v>982095</v>
      </c>
      <c r="J33" s="15">
        <f t="shared" si="0"/>
        <v>6.56</v>
      </c>
    </row>
    <row r="34" spans="1:10" x14ac:dyDescent="0.3">
      <c r="A34" s="26" t="s">
        <v>45</v>
      </c>
      <c r="B34" s="26">
        <v>763</v>
      </c>
      <c r="C34" s="15">
        <v>707</v>
      </c>
      <c r="D34" s="15">
        <v>726</v>
      </c>
      <c r="E34" s="15">
        <f t="shared" si="1"/>
        <v>2196</v>
      </c>
      <c r="F34" s="15">
        <v>51984</v>
      </c>
      <c r="G34" s="15">
        <v>51472</v>
      </c>
      <c r="H34" s="15">
        <v>49124</v>
      </c>
      <c r="I34" s="15">
        <f t="shared" si="2"/>
        <v>152580</v>
      </c>
      <c r="J34" s="15">
        <f t="shared" ref="J34:J65" si="3">ROUND((E34/I34*100000)/100,2)</f>
        <v>14.39</v>
      </c>
    </row>
    <row r="35" spans="1:10" x14ac:dyDescent="0.3">
      <c r="A35" s="26" t="s">
        <v>46</v>
      </c>
      <c r="B35" s="26">
        <v>3477</v>
      </c>
      <c r="C35" s="15">
        <v>3516</v>
      </c>
      <c r="D35" s="15">
        <v>3844</v>
      </c>
      <c r="E35" s="15">
        <f t="shared" si="1"/>
        <v>10837</v>
      </c>
      <c r="F35" s="15">
        <v>379216</v>
      </c>
      <c r="G35" s="15">
        <v>382295</v>
      </c>
      <c r="H35" s="15">
        <v>398143</v>
      </c>
      <c r="I35" s="15">
        <f t="shared" si="2"/>
        <v>1159654</v>
      </c>
      <c r="J35" s="15">
        <f t="shared" si="3"/>
        <v>9.35</v>
      </c>
    </row>
    <row r="36" spans="1:10" x14ac:dyDescent="0.3">
      <c r="A36" s="26" t="s">
        <v>47</v>
      </c>
      <c r="B36" s="26">
        <v>673</v>
      </c>
      <c r="C36" s="15">
        <v>658</v>
      </c>
      <c r="D36" s="15">
        <v>747</v>
      </c>
      <c r="E36" s="15">
        <f t="shared" si="1"/>
        <v>2078</v>
      </c>
      <c r="F36" s="15">
        <v>67625</v>
      </c>
      <c r="G36" s="15">
        <v>69685</v>
      </c>
      <c r="H36" s="15">
        <v>79771</v>
      </c>
      <c r="I36" s="15">
        <f t="shared" si="2"/>
        <v>217081</v>
      </c>
      <c r="J36" s="15">
        <f t="shared" si="3"/>
        <v>9.57</v>
      </c>
    </row>
    <row r="37" spans="1:10" x14ac:dyDescent="0.3">
      <c r="A37" s="26" t="s">
        <v>48</v>
      </c>
      <c r="B37" s="26">
        <v>2426</v>
      </c>
      <c r="C37" s="15">
        <v>2485</v>
      </c>
      <c r="D37" s="15">
        <v>2614</v>
      </c>
      <c r="E37" s="15">
        <f t="shared" si="1"/>
        <v>7525</v>
      </c>
      <c r="F37" s="15">
        <v>222630</v>
      </c>
      <c r="G37" s="15">
        <v>224529</v>
      </c>
      <c r="H37" s="15">
        <v>242010</v>
      </c>
      <c r="I37" s="15">
        <f t="shared" si="2"/>
        <v>689169</v>
      </c>
      <c r="J37" s="15">
        <f t="shared" si="3"/>
        <v>10.92</v>
      </c>
    </row>
    <row r="38" spans="1:10" x14ac:dyDescent="0.3">
      <c r="A38" s="26" t="s">
        <v>49</v>
      </c>
      <c r="B38" s="26">
        <v>139</v>
      </c>
      <c r="C38" s="15">
        <v>139</v>
      </c>
      <c r="D38" s="15">
        <v>103</v>
      </c>
      <c r="E38" s="15">
        <f t="shared" si="1"/>
        <v>381</v>
      </c>
      <c r="F38" s="15">
        <v>11563</v>
      </c>
      <c r="G38" s="15">
        <v>11562</v>
      </c>
      <c r="H38" s="15">
        <v>10299</v>
      </c>
      <c r="I38" s="15">
        <f t="shared" si="2"/>
        <v>33424</v>
      </c>
      <c r="J38" s="15">
        <f t="shared" si="3"/>
        <v>11.4</v>
      </c>
    </row>
    <row r="39" spans="1:10" x14ac:dyDescent="0.3">
      <c r="A39" s="26" t="s">
        <v>50</v>
      </c>
      <c r="B39" s="26">
        <v>111</v>
      </c>
      <c r="C39" s="15">
        <v>118</v>
      </c>
      <c r="D39" s="15">
        <v>100</v>
      </c>
      <c r="E39" s="15">
        <f t="shared" si="1"/>
        <v>329</v>
      </c>
      <c r="F39" s="15">
        <v>8461</v>
      </c>
      <c r="G39" s="15">
        <v>8441</v>
      </c>
      <c r="H39" s="15">
        <v>8179</v>
      </c>
      <c r="I39" s="15">
        <f t="shared" si="2"/>
        <v>25081</v>
      </c>
      <c r="J39" s="15">
        <f t="shared" si="3"/>
        <v>13.12</v>
      </c>
    </row>
    <row r="40" spans="1:10" x14ac:dyDescent="0.3">
      <c r="A40" s="26" t="s">
        <v>51</v>
      </c>
      <c r="B40" s="26">
        <v>568</v>
      </c>
      <c r="C40" s="15">
        <v>568</v>
      </c>
      <c r="D40" s="15">
        <v>633</v>
      </c>
      <c r="E40" s="15">
        <f t="shared" si="1"/>
        <v>1769</v>
      </c>
      <c r="F40" s="15">
        <v>59979</v>
      </c>
      <c r="G40" s="15">
        <v>60443</v>
      </c>
      <c r="H40" s="15">
        <v>61544</v>
      </c>
      <c r="I40" s="15">
        <f t="shared" si="2"/>
        <v>181966</v>
      </c>
      <c r="J40" s="15">
        <f t="shared" si="3"/>
        <v>9.7200000000000006</v>
      </c>
    </row>
    <row r="41" spans="1:10" x14ac:dyDescent="0.3">
      <c r="A41" s="26" t="s">
        <v>52</v>
      </c>
      <c r="B41" s="26">
        <v>204</v>
      </c>
      <c r="C41" s="15">
        <v>209</v>
      </c>
      <c r="D41" s="15">
        <v>214</v>
      </c>
      <c r="E41" s="15">
        <f t="shared" si="1"/>
        <v>627</v>
      </c>
      <c r="F41" s="15">
        <v>21106</v>
      </c>
      <c r="G41" s="15">
        <v>21069</v>
      </c>
      <c r="H41" s="15">
        <v>20671</v>
      </c>
      <c r="I41" s="15">
        <f t="shared" si="2"/>
        <v>62846</v>
      </c>
      <c r="J41" s="15">
        <f t="shared" si="3"/>
        <v>9.98</v>
      </c>
    </row>
    <row r="42" spans="1:10" x14ac:dyDescent="0.3">
      <c r="A42" s="26" t="s">
        <v>53</v>
      </c>
      <c r="B42" s="26">
        <v>4604</v>
      </c>
      <c r="C42" s="15">
        <v>4741</v>
      </c>
      <c r="D42" s="15">
        <v>4901</v>
      </c>
      <c r="E42" s="15">
        <f t="shared" si="1"/>
        <v>14246</v>
      </c>
      <c r="F42" s="15">
        <v>532607</v>
      </c>
      <c r="G42" s="15">
        <v>537174</v>
      </c>
      <c r="H42" s="15">
        <v>558816</v>
      </c>
      <c r="I42" s="15">
        <f t="shared" si="2"/>
        <v>1628597</v>
      </c>
      <c r="J42" s="15">
        <f t="shared" si="3"/>
        <v>8.75</v>
      </c>
    </row>
    <row r="43" spans="1:10" x14ac:dyDescent="0.3">
      <c r="A43" s="26" t="s">
        <v>54</v>
      </c>
      <c r="B43" s="26">
        <v>702</v>
      </c>
      <c r="C43" s="15">
        <v>702</v>
      </c>
      <c r="D43" s="15">
        <v>718</v>
      </c>
      <c r="E43" s="15">
        <f t="shared" si="1"/>
        <v>2122</v>
      </c>
      <c r="F43" s="15">
        <v>50634</v>
      </c>
      <c r="G43" s="15">
        <v>50010</v>
      </c>
      <c r="H43" s="15">
        <v>46992</v>
      </c>
      <c r="I43" s="15">
        <f t="shared" si="2"/>
        <v>147636</v>
      </c>
      <c r="J43" s="15">
        <f t="shared" si="3"/>
        <v>14.37</v>
      </c>
    </row>
    <row r="44" spans="1:10" x14ac:dyDescent="0.3">
      <c r="A44" s="26" t="s">
        <v>55</v>
      </c>
      <c r="B44" s="26">
        <v>1058</v>
      </c>
      <c r="C44" s="15">
        <v>1064</v>
      </c>
      <c r="D44" s="15">
        <v>1270</v>
      </c>
      <c r="E44" s="15">
        <f t="shared" si="1"/>
        <v>3392</v>
      </c>
      <c r="F44" s="15">
        <v>134336</v>
      </c>
      <c r="G44" s="15">
        <v>135976</v>
      </c>
      <c r="H44" s="15">
        <v>146096</v>
      </c>
      <c r="I44" s="15">
        <f t="shared" si="2"/>
        <v>416408</v>
      </c>
      <c r="J44" s="15">
        <f t="shared" si="3"/>
        <v>8.15</v>
      </c>
    </row>
    <row r="45" spans="1:10" x14ac:dyDescent="0.3">
      <c r="A45" s="26" t="s">
        <v>56</v>
      </c>
      <c r="B45" s="26">
        <v>843</v>
      </c>
      <c r="C45" s="15">
        <v>840</v>
      </c>
      <c r="D45" s="15">
        <v>904</v>
      </c>
      <c r="E45" s="15">
        <f t="shared" si="1"/>
        <v>2587</v>
      </c>
      <c r="F45" s="15">
        <v>61890</v>
      </c>
      <c r="G45" s="15">
        <v>62317</v>
      </c>
      <c r="H45" s="15">
        <v>63048</v>
      </c>
      <c r="I45" s="15">
        <f t="shared" si="2"/>
        <v>187255</v>
      </c>
      <c r="J45" s="15">
        <f t="shared" si="3"/>
        <v>13.82</v>
      </c>
    </row>
    <row r="46" spans="1:10" x14ac:dyDescent="0.3">
      <c r="A46" s="26" t="s">
        <v>57</v>
      </c>
      <c r="B46" s="26">
        <v>1446</v>
      </c>
      <c r="C46" s="15">
        <v>1463</v>
      </c>
      <c r="D46" s="15">
        <v>1489</v>
      </c>
      <c r="E46" s="15">
        <f t="shared" si="1"/>
        <v>4398</v>
      </c>
      <c r="F46" s="15">
        <v>116500</v>
      </c>
      <c r="G46" s="15">
        <v>117417</v>
      </c>
      <c r="H46" s="15">
        <v>120771</v>
      </c>
      <c r="I46" s="15">
        <f t="shared" si="2"/>
        <v>354688</v>
      </c>
      <c r="J46" s="15">
        <f t="shared" si="3"/>
        <v>12.4</v>
      </c>
    </row>
    <row r="47" spans="1:10" x14ac:dyDescent="0.3">
      <c r="A47" s="26" t="s">
        <v>58</v>
      </c>
      <c r="B47" s="26">
        <v>276</v>
      </c>
      <c r="C47" s="15">
        <v>300</v>
      </c>
      <c r="D47" s="15">
        <v>284</v>
      </c>
      <c r="E47" s="15">
        <f t="shared" si="1"/>
        <v>860</v>
      </c>
      <c r="F47" s="15">
        <v>23878</v>
      </c>
      <c r="G47" s="15">
        <v>23677</v>
      </c>
      <c r="H47" s="15">
        <v>19169</v>
      </c>
      <c r="I47" s="15">
        <f t="shared" si="2"/>
        <v>66724</v>
      </c>
      <c r="J47" s="15">
        <f t="shared" si="3"/>
        <v>12.89</v>
      </c>
    </row>
    <row r="48" spans="1:10" x14ac:dyDescent="0.3">
      <c r="A48" s="26" t="s">
        <v>59</v>
      </c>
      <c r="B48" s="26">
        <v>367</v>
      </c>
      <c r="C48" s="15">
        <v>376</v>
      </c>
      <c r="D48" s="15">
        <v>429</v>
      </c>
      <c r="E48" s="15">
        <f t="shared" si="1"/>
        <v>1172</v>
      </c>
      <c r="F48" s="15">
        <v>54695</v>
      </c>
      <c r="G48" s="15">
        <v>55234</v>
      </c>
      <c r="H48" s="15">
        <v>55382</v>
      </c>
      <c r="I48" s="15">
        <f t="shared" si="2"/>
        <v>165311</v>
      </c>
      <c r="J48" s="15">
        <f t="shared" si="3"/>
        <v>7.09</v>
      </c>
    </row>
    <row r="49" spans="1:10" x14ac:dyDescent="0.3">
      <c r="A49" s="26" t="s">
        <v>60</v>
      </c>
      <c r="B49" s="26">
        <v>57</v>
      </c>
      <c r="C49" s="15">
        <v>70</v>
      </c>
      <c r="D49" s="15">
        <v>54</v>
      </c>
      <c r="E49" s="15">
        <f t="shared" si="1"/>
        <v>181</v>
      </c>
      <c r="F49" s="15">
        <v>5026</v>
      </c>
      <c r="G49" s="15">
        <v>4937</v>
      </c>
      <c r="H49" s="15">
        <v>4583</v>
      </c>
      <c r="I49" s="15">
        <f t="shared" si="2"/>
        <v>14546</v>
      </c>
      <c r="J49" s="15">
        <f t="shared" si="3"/>
        <v>12.44</v>
      </c>
    </row>
    <row r="50" spans="1:10" x14ac:dyDescent="0.3">
      <c r="A50" s="26" t="s">
        <v>61</v>
      </c>
      <c r="B50" s="26">
        <v>1549</v>
      </c>
      <c r="C50" s="15">
        <v>1618</v>
      </c>
      <c r="D50" s="15">
        <v>1860</v>
      </c>
      <c r="E50" s="15">
        <f t="shared" si="1"/>
        <v>5027</v>
      </c>
      <c r="F50" s="15">
        <v>178332</v>
      </c>
      <c r="G50" s="15">
        <v>181806</v>
      </c>
      <c r="H50" s="15">
        <v>206361</v>
      </c>
      <c r="I50" s="15">
        <f t="shared" si="2"/>
        <v>566499</v>
      </c>
      <c r="J50" s="15">
        <f t="shared" si="3"/>
        <v>8.8699999999999992</v>
      </c>
    </row>
    <row r="51" spans="1:10" x14ac:dyDescent="0.3">
      <c r="A51" s="26" t="s">
        <v>62</v>
      </c>
      <c r="B51" s="26">
        <v>401</v>
      </c>
      <c r="C51" s="15">
        <v>399</v>
      </c>
      <c r="D51" s="15">
        <v>467</v>
      </c>
      <c r="E51" s="15">
        <f t="shared" si="1"/>
        <v>1267</v>
      </c>
      <c r="F51" s="15">
        <v>43600</v>
      </c>
      <c r="G51" s="15">
        <v>43938</v>
      </c>
      <c r="H51" s="15">
        <v>45281</v>
      </c>
      <c r="I51" s="15">
        <f t="shared" si="2"/>
        <v>132819</v>
      </c>
      <c r="J51" s="15">
        <f t="shared" si="3"/>
        <v>9.5399999999999991</v>
      </c>
    </row>
    <row r="52" spans="1:10" x14ac:dyDescent="0.3">
      <c r="A52" s="26" t="s">
        <v>63</v>
      </c>
      <c r="B52" s="26">
        <v>1537</v>
      </c>
      <c r="C52" s="15">
        <v>1633</v>
      </c>
      <c r="D52" s="15">
        <v>1930</v>
      </c>
      <c r="E52" s="15">
        <f t="shared" si="1"/>
        <v>5100</v>
      </c>
      <c r="F52" s="15">
        <v>202692</v>
      </c>
      <c r="G52" s="15">
        <v>209339</v>
      </c>
      <c r="H52" s="15">
        <v>249794</v>
      </c>
      <c r="I52" s="15">
        <f t="shared" si="2"/>
        <v>661825</v>
      </c>
      <c r="J52" s="15">
        <f t="shared" si="3"/>
        <v>7.71</v>
      </c>
    </row>
    <row r="53" spans="1:10" x14ac:dyDescent="0.3">
      <c r="A53" s="26" t="s">
        <v>64</v>
      </c>
      <c r="B53" s="26">
        <v>117</v>
      </c>
      <c r="C53" s="15">
        <v>116</v>
      </c>
      <c r="D53" s="15">
        <v>163</v>
      </c>
      <c r="E53" s="15">
        <f t="shared" si="1"/>
        <v>396</v>
      </c>
      <c r="F53" s="15">
        <v>9613</v>
      </c>
      <c r="G53" s="15">
        <v>9419</v>
      </c>
      <c r="H53" s="15">
        <v>9462</v>
      </c>
      <c r="I53" s="15">
        <f t="shared" si="2"/>
        <v>28494</v>
      </c>
      <c r="J53" s="15">
        <f t="shared" si="3"/>
        <v>13.9</v>
      </c>
    </row>
    <row r="54" spans="1:10" x14ac:dyDescent="0.3">
      <c r="A54" s="26" t="s">
        <v>65</v>
      </c>
      <c r="B54" s="26">
        <v>610</v>
      </c>
      <c r="C54" s="15">
        <v>595</v>
      </c>
      <c r="D54" s="15">
        <v>666</v>
      </c>
      <c r="E54" s="15">
        <f t="shared" si="1"/>
        <v>1871</v>
      </c>
      <c r="F54" s="15">
        <v>61208</v>
      </c>
      <c r="G54" s="15">
        <v>61779</v>
      </c>
      <c r="H54" s="15">
        <v>68537</v>
      </c>
      <c r="I54" s="15">
        <f t="shared" si="2"/>
        <v>191524</v>
      </c>
      <c r="J54" s="15">
        <f t="shared" si="3"/>
        <v>9.77</v>
      </c>
    </row>
    <row r="55" spans="1:10" x14ac:dyDescent="0.3">
      <c r="A55" s="26" t="s">
        <v>66</v>
      </c>
      <c r="B55" s="26">
        <v>734</v>
      </c>
      <c r="C55" s="15">
        <v>731</v>
      </c>
      <c r="D55" s="15">
        <v>738</v>
      </c>
      <c r="E55" s="15">
        <f t="shared" si="1"/>
        <v>2203</v>
      </c>
      <c r="F55" s="15">
        <v>55990</v>
      </c>
      <c r="G55" s="15">
        <v>55949</v>
      </c>
      <c r="H55" s="15">
        <v>55332</v>
      </c>
      <c r="I55" s="15">
        <f t="shared" si="2"/>
        <v>167271</v>
      </c>
      <c r="J55" s="15">
        <f t="shared" si="3"/>
        <v>13.17</v>
      </c>
    </row>
    <row r="56" spans="1:10" x14ac:dyDescent="0.3">
      <c r="A56" s="26" t="s">
        <v>67</v>
      </c>
      <c r="B56" s="26">
        <v>825</v>
      </c>
      <c r="C56" s="15">
        <v>860</v>
      </c>
      <c r="D56" s="15">
        <v>1017</v>
      </c>
      <c r="E56" s="15">
        <f t="shared" si="1"/>
        <v>2702</v>
      </c>
      <c r="F56" s="15">
        <v>84092</v>
      </c>
      <c r="G56" s="15">
        <v>86111</v>
      </c>
      <c r="H56" s="15">
        <v>97611</v>
      </c>
      <c r="I56" s="15">
        <f t="shared" si="2"/>
        <v>267814</v>
      </c>
      <c r="J56" s="15">
        <f t="shared" si="3"/>
        <v>10.09</v>
      </c>
    </row>
    <row r="57" spans="1:10" x14ac:dyDescent="0.3">
      <c r="A57" s="26" t="s">
        <v>68</v>
      </c>
      <c r="B57" s="26">
        <v>482</v>
      </c>
      <c r="C57" s="15">
        <v>471</v>
      </c>
      <c r="D57" s="15">
        <v>517</v>
      </c>
      <c r="E57" s="15">
        <f t="shared" si="1"/>
        <v>1470</v>
      </c>
      <c r="F57" s="15">
        <v>35274</v>
      </c>
      <c r="G57" s="15">
        <v>35858</v>
      </c>
      <c r="H57" s="15">
        <v>38717</v>
      </c>
      <c r="I57" s="15">
        <f t="shared" si="2"/>
        <v>109849</v>
      </c>
      <c r="J57" s="15">
        <f t="shared" si="3"/>
        <v>13.38</v>
      </c>
    </row>
    <row r="58" spans="1:10" x14ac:dyDescent="0.3">
      <c r="A58" s="26" t="s">
        <v>69</v>
      </c>
      <c r="B58" s="26">
        <v>275</v>
      </c>
      <c r="C58" s="15">
        <v>275</v>
      </c>
      <c r="D58" s="15">
        <v>276</v>
      </c>
      <c r="E58" s="15">
        <f t="shared" si="1"/>
        <v>826</v>
      </c>
      <c r="F58" s="15">
        <v>21665</v>
      </c>
      <c r="G58" s="15">
        <v>21755</v>
      </c>
      <c r="H58" s="15">
        <v>22352</v>
      </c>
      <c r="I58" s="15">
        <f t="shared" si="2"/>
        <v>65772</v>
      </c>
      <c r="J58" s="15">
        <f t="shared" si="3"/>
        <v>12.56</v>
      </c>
    </row>
    <row r="59" spans="1:10" x14ac:dyDescent="0.3">
      <c r="A59" s="26" t="s">
        <v>70</v>
      </c>
      <c r="B59" s="26">
        <v>323</v>
      </c>
      <c r="C59" s="15">
        <v>296</v>
      </c>
      <c r="D59" s="15">
        <v>329</v>
      </c>
      <c r="E59" s="15">
        <f t="shared" si="1"/>
        <v>948</v>
      </c>
      <c r="F59" s="15">
        <v>22660</v>
      </c>
      <c r="G59" s="15">
        <v>22440</v>
      </c>
      <c r="H59" s="15">
        <v>21523</v>
      </c>
      <c r="I59" s="15">
        <f t="shared" si="2"/>
        <v>66623</v>
      </c>
      <c r="J59" s="15">
        <f t="shared" si="3"/>
        <v>14.23</v>
      </c>
    </row>
    <row r="60" spans="1:10" x14ac:dyDescent="0.3">
      <c r="A60" s="26" t="s">
        <v>71</v>
      </c>
      <c r="B60" s="26">
        <v>562</v>
      </c>
      <c r="C60" s="15">
        <v>531</v>
      </c>
      <c r="D60" s="15">
        <v>578</v>
      </c>
      <c r="E60" s="15">
        <f t="shared" si="1"/>
        <v>1671</v>
      </c>
      <c r="F60" s="15">
        <v>45465</v>
      </c>
      <c r="G60" s="15">
        <v>45756</v>
      </c>
      <c r="H60" s="15">
        <v>45269</v>
      </c>
      <c r="I60" s="15">
        <f t="shared" si="2"/>
        <v>136490</v>
      </c>
      <c r="J60" s="15">
        <f t="shared" si="3"/>
        <v>12.24</v>
      </c>
    </row>
    <row r="61" spans="1:10" x14ac:dyDescent="0.3">
      <c r="A61" s="26" t="s">
        <v>72</v>
      </c>
      <c r="B61" s="26">
        <v>6457</v>
      </c>
      <c r="C61" s="15">
        <v>6459</v>
      </c>
      <c r="D61" s="15">
        <v>6927</v>
      </c>
      <c r="E61" s="15">
        <f t="shared" si="1"/>
        <v>19843</v>
      </c>
      <c r="F61" s="15">
        <v>1093750</v>
      </c>
      <c r="G61" s="15">
        <v>1110356</v>
      </c>
      <c r="H61" s="15">
        <v>1206285</v>
      </c>
      <c r="I61" s="15">
        <f t="shared" si="2"/>
        <v>3410391</v>
      </c>
      <c r="J61" s="15">
        <f t="shared" si="3"/>
        <v>5.82</v>
      </c>
    </row>
    <row r="62" spans="1:10" x14ac:dyDescent="0.3">
      <c r="A62" s="26" t="s">
        <v>73</v>
      </c>
      <c r="B62" s="26">
        <v>242</v>
      </c>
      <c r="C62" s="15">
        <v>239</v>
      </c>
      <c r="D62" s="15">
        <v>208</v>
      </c>
      <c r="E62" s="15">
        <f t="shared" si="1"/>
        <v>689</v>
      </c>
      <c r="F62" s="15">
        <v>14996</v>
      </c>
      <c r="G62" s="15">
        <v>14964</v>
      </c>
      <c r="H62" s="15">
        <v>15030</v>
      </c>
      <c r="I62" s="15">
        <f t="shared" si="2"/>
        <v>44990</v>
      </c>
      <c r="J62" s="15">
        <f t="shared" si="3"/>
        <v>15.31</v>
      </c>
    </row>
    <row r="63" spans="1:10" x14ac:dyDescent="0.3">
      <c r="A63" s="26" t="s">
        <v>74</v>
      </c>
      <c r="B63" s="26">
        <v>313</v>
      </c>
      <c r="C63" s="15">
        <v>348</v>
      </c>
      <c r="D63" s="15">
        <v>321</v>
      </c>
      <c r="E63" s="15">
        <f t="shared" si="1"/>
        <v>982</v>
      </c>
      <c r="F63" s="15">
        <v>27077</v>
      </c>
      <c r="G63" s="15">
        <v>27173</v>
      </c>
      <c r="H63" s="15">
        <v>26364</v>
      </c>
      <c r="I63" s="15">
        <f t="shared" si="2"/>
        <v>80614</v>
      </c>
      <c r="J63" s="15">
        <f t="shared" si="3"/>
        <v>12.18</v>
      </c>
    </row>
    <row r="64" spans="1:10" x14ac:dyDescent="0.3">
      <c r="A64" s="26" t="s">
        <v>75</v>
      </c>
      <c r="B64" s="26">
        <v>1116</v>
      </c>
      <c r="C64" s="15">
        <v>1165</v>
      </c>
      <c r="D64" s="15">
        <v>1309</v>
      </c>
      <c r="E64" s="15">
        <f t="shared" si="1"/>
        <v>3590</v>
      </c>
      <c r="F64" s="15">
        <v>98805</v>
      </c>
      <c r="G64" s="15">
        <v>100880</v>
      </c>
      <c r="H64" s="15">
        <v>108417</v>
      </c>
      <c r="I64" s="15">
        <f t="shared" si="2"/>
        <v>308102</v>
      </c>
      <c r="J64" s="15">
        <f t="shared" si="3"/>
        <v>11.65</v>
      </c>
    </row>
    <row r="65" spans="1:10" x14ac:dyDescent="0.3">
      <c r="A65" s="26" t="s">
        <v>76</v>
      </c>
      <c r="B65" s="26">
        <v>1081</v>
      </c>
      <c r="C65" s="15">
        <v>1131</v>
      </c>
      <c r="D65" s="15">
        <v>1100</v>
      </c>
      <c r="E65" s="15">
        <f t="shared" si="1"/>
        <v>3312</v>
      </c>
      <c r="F65" s="15">
        <v>94094</v>
      </c>
      <c r="G65" s="15">
        <v>94298</v>
      </c>
      <c r="H65" s="15">
        <v>97990</v>
      </c>
      <c r="I65" s="15">
        <f t="shared" si="2"/>
        <v>286382</v>
      </c>
      <c r="J65" s="15">
        <f t="shared" si="3"/>
        <v>11.56</v>
      </c>
    </row>
    <row r="66" spans="1:10" x14ac:dyDescent="0.3">
      <c r="A66" s="26" t="s">
        <v>77</v>
      </c>
      <c r="B66" s="26">
        <v>1979</v>
      </c>
      <c r="C66" s="15">
        <v>2136</v>
      </c>
      <c r="D66" s="15">
        <v>2335</v>
      </c>
      <c r="E66" s="15">
        <f t="shared" si="1"/>
        <v>6450</v>
      </c>
      <c r="F66" s="15">
        <v>232256</v>
      </c>
      <c r="G66" s="15">
        <v>234473</v>
      </c>
      <c r="H66" s="15">
        <v>243333</v>
      </c>
      <c r="I66" s="15">
        <f t="shared" si="2"/>
        <v>710062</v>
      </c>
      <c r="J66" s="15">
        <f t="shared" ref="J66:J97" si="4">ROUND((E66/I66*100000)/100,2)</f>
        <v>9.08</v>
      </c>
    </row>
    <row r="67" spans="1:10" x14ac:dyDescent="0.3">
      <c r="A67" s="26" t="s">
        <v>78</v>
      </c>
      <c r="B67" s="26">
        <v>261</v>
      </c>
      <c r="C67" s="15">
        <v>266</v>
      </c>
      <c r="D67" s="15">
        <v>282</v>
      </c>
      <c r="E67" s="15">
        <f t="shared" ref="E67:E102" si="5">SUM(B67:D67)</f>
        <v>809</v>
      </c>
      <c r="F67" s="15">
        <v>19698</v>
      </c>
      <c r="G67" s="15">
        <v>19483</v>
      </c>
      <c r="H67" s="15">
        <v>16580</v>
      </c>
      <c r="I67" s="15">
        <f t="shared" ref="I67:I102" si="6">SUM(F67:H67)</f>
        <v>55761</v>
      </c>
      <c r="J67" s="15">
        <f t="shared" si="4"/>
        <v>14.51</v>
      </c>
    </row>
    <row r="68" spans="1:10" x14ac:dyDescent="0.3">
      <c r="A68" s="26" t="s">
        <v>79</v>
      </c>
      <c r="B68" s="26">
        <v>1273</v>
      </c>
      <c r="C68" s="15">
        <v>1288</v>
      </c>
      <c r="D68" s="15">
        <v>1502</v>
      </c>
      <c r="E68" s="15">
        <f t="shared" si="5"/>
        <v>4063</v>
      </c>
      <c r="F68" s="15">
        <v>196915</v>
      </c>
      <c r="G68" s="15">
        <v>197938</v>
      </c>
      <c r="H68" s="15">
        <v>212954</v>
      </c>
      <c r="I68" s="15">
        <f t="shared" si="6"/>
        <v>607807</v>
      </c>
      <c r="J68" s="15">
        <f t="shared" si="4"/>
        <v>6.68</v>
      </c>
    </row>
    <row r="69" spans="1:10" x14ac:dyDescent="0.3">
      <c r="A69" s="26" t="s">
        <v>80</v>
      </c>
      <c r="B69" s="26">
        <v>820</v>
      </c>
      <c r="C69" s="15">
        <v>852</v>
      </c>
      <c r="D69" s="15">
        <v>953</v>
      </c>
      <c r="E69" s="15">
        <f t="shared" si="5"/>
        <v>2625</v>
      </c>
      <c r="F69" s="15">
        <v>147980</v>
      </c>
      <c r="G69" s="15">
        <v>148476</v>
      </c>
      <c r="H69" s="15">
        <v>152877</v>
      </c>
      <c r="I69" s="15">
        <f t="shared" si="6"/>
        <v>449333</v>
      </c>
      <c r="J69" s="15">
        <f t="shared" si="4"/>
        <v>5.84</v>
      </c>
    </row>
    <row r="70" spans="1:10" x14ac:dyDescent="0.3">
      <c r="A70" s="26" t="s">
        <v>81</v>
      </c>
      <c r="B70" s="26">
        <v>170</v>
      </c>
      <c r="C70" s="15">
        <v>185</v>
      </c>
      <c r="D70" s="15">
        <v>205</v>
      </c>
      <c r="E70" s="15">
        <f t="shared" si="5"/>
        <v>560</v>
      </c>
      <c r="F70" s="15">
        <v>12633</v>
      </c>
      <c r="G70" s="15">
        <v>12726</v>
      </c>
      <c r="H70" s="15">
        <v>12550</v>
      </c>
      <c r="I70" s="15">
        <f t="shared" si="6"/>
        <v>37909</v>
      </c>
      <c r="J70" s="15">
        <f t="shared" si="4"/>
        <v>14.77</v>
      </c>
    </row>
    <row r="71" spans="1:10" x14ac:dyDescent="0.3">
      <c r="A71" s="26" t="s">
        <v>82</v>
      </c>
      <c r="B71" s="26">
        <v>447</v>
      </c>
      <c r="C71" s="15">
        <v>442</v>
      </c>
      <c r="D71" s="15">
        <v>380</v>
      </c>
      <c r="E71" s="15">
        <f t="shared" si="5"/>
        <v>1269</v>
      </c>
      <c r="F71" s="15">
        <v>39583</v>
      </c>
      <c r="G71" s="15">
        <v>39824</v>
      </c>
      <c r="H71" s="15">
        <v>41418</v>
      </c>
      <c r="I71" s="15">
        <f t="shared" si="6"/>
        <v>120825</v>
      </c>
      <c r="J71" s="15">
        <f t="shared" si="4"/>
        <v>10.5</v>
      </c>
    </row>
    <row r="72" spans="1:10" x14ac:dyDescent="0.3">
      <c r="A72" s="26" t="s">
        <v>83</v>
      </c>
      <c r="B72" s="26">
        <v>618</v>
      </c>
      <c r="C72" s="15">
        <v>632</v>
      </c>
      <c r="D72" s="15">
        <v>743</v>
      </c>
      <c r="E72" s="15">
        <f t="shared" si="5"/>
        <v>1993</v>
      </c>
      <c r="F72" s="15">
        <v>62017</v>
      </c>
      <c r="G72" s="15">
        <v>63060</v>
      </c>
      <c r="H72" s="15">
        <v>70077</v>
      </c>
      <c r="I72" s="15">
        <f t="shared" si="6"/>
        <v>195154</v>
      </c>
      <c r="J72" s="15">
        <f t="shared" si="4"/>
        <v>10.210000000000001</v>
      </c>
    </row>
    <row r="73" spans="1:10" x14ac:dyDescent="0.3">
      <c r="A73" s="26" t="s">
        <v>84</v>
      </c>
      <c r="B73" s="26">
        <v>173</v>
      </c>
      <c r="C73" s="15">
        <v>159</v>
      </c>
      <c r="D73" s="15">
        <v>181</v>
      </c>
      <c r="E73" s="15">
        <f t="shared" si="5"/>
        <v>513</v>
      </c>
      <c r="F73" s="15">
        <v>13381</v>
      </c>
      <c r="G73" s="15">
        <v>13463</v>
      </c>
      <c r="H73" s="15">
        <v>13460</v>
      </c>
      <c r="I73" s="15">
        <f t="shared" si="6"/>
        <v>40304</v>
      </c>
      <c r="J73" s="15">
        <f t="shared" si="4"/>
        <v>12.73</v>
      </c>
    </row>
    <row r="74" spans="1:10" x14ac:dyDescent="0.3">
      <c r="A74" s="26" t="s">
        <v>85</v>
      </c>
      <c r="B74" s="26">
        <v>508</v>
      </c>
      <c r="C74" s="15">
        <v>458</v>
      </c>
      <c r="D74" s="15">
        <v>512</v>
      </c>
      <c r="E74" s="15">
        <f t="shared" si="5"/>
        <v>1478</v>
      </c>
      <c r="F74" s="15">
        <v>39436</v>
      </c>
      <c r="G74" s="15">
        <v>39490</v>
      </c>
      <c r="H74" s="15">
        <v>40143</v>
      </c>
      <c r="I74" s="15">
        <f t="shared" si="6"/>
        <v>119069</v>
      </c>
      <c r="J74" s="15">
        <f t="shared" si="4"/>
        <v>12.41</v>
      </c>
    </row>
    <row r="75" spans="1:10" x14ac:dyDescent="0.3">
      <c r="A75" s="26" t="s">
        <v>86</v>
      </c>
      <c r="B75" s="26">
        <v>1292</v>
      </c>
      <c r="C75" s="15">
        <v>1393</v>
      </c>
      <c r="D75" s="15">
        <v>1655</v>
      </c>
      <c r="E75" s="15">
        <f t="shared" si="5"/>
        <v>4340</v>
      </c>
      <c r="F75" s="15">
        <v>179575</v>
      </c>
      <c r="G75" s="15">
        <v>180742</v>
      </c>
      <c r="H75" s="15">
        <v>180783</v>
      </c>
      <c r="I75" s="15">
        <f t="shared" si="6"/>
        <v>541100</v>
      </c>
      <c r="J75" s="15">
        <f t="shared" si="4"/>
        <v>8.02</v>
      </c>
    </row>
    <row r="76" spans="1:10" x14ac:dyDescent="0.3">
      <c r="A76" s="26" t="s">
        <v>87</v>
      </c>
      <c r="B76" s="26">
        <v>319</v>
      </c>
      <c r="C76" s="15">
        <v>306</v>
      </c>
      <c r="D76" s="15">
        <v>273</v>
      </c>
      <c r="E76" s="15">
        <f t="shared" si="5"/>
        <v>898</v>
      </c>
      <c r="F76" s="15">
        <v>20668</v>
      </c>
      <c r="G76" s="15">
        <v>20724</v>
      </c>
      <c r="H76" s="15">
        <v>20320</v>
      </c>
      <c r="I76" s="15">
        <f t="shared" si="6"/>
        <v>61712</v>
      </c>
      <c r="J76" s="15">
        <f t="shared" si="4"/>
        <v>14.55</v>
      </c>
    </row>
    <row r="77" spans="1:10" x14ac:dyDescent="0.3">
      <c r="A77" s="26" t="s">
        <v>88</v>
      </c>
      <c r="B77" s="26">
        <v>1577</v>
      </c>
      <c r="C77" s="15">
        <v>1625</v>
      </c>
      <c r="D77" s="15">
        <v>1703</v>
      </c>
      <c r="E77" s="15">
        <f t="shared" si="5"/>
        <v>4905</v>
      </c>
      <c r="F77" s="15">
        <v>143249</v>
      </c>
      <c r="G77" s="15">
        <v>143667</v>
      </c>
      <c r="H77" s="15">
        <v>148389</v>
      </c>
      <c r="I77" s="15">
        <f t="shared" si="6"/>
        <v>435305</v>
      </c>
      <c r="J77" s="15">
        <f t="shared" si="4"/>
        <v>11.27</v>
      </c>
    </row>
    <row r="78" spans="1:10" x14ac:dyDescent="0.3">
      <c r="A78" s="26" t="s">
        <v>89</v>
      </c>
      <c r="B78" s="26">
        <v>534</v>
      </c>
      <c r="C78" s="15">
        <v>587</v>
      </c>
      <c r="D78" s="15">
        <v>595</v>
      </c>
      <c r="E78" s="15">
        <f t="shared" si="5"/>
        <v>1716</v>
      </c>
      <c r="F78" s="15">
        <v>44888</v>
      </c>
      <c r="G78" s="15">
        <v>44829</v>
      </c>
      <c r="H78" s="15">
        <v>41990</v>
      </c>
      <c r="I78" s="15">
        <f t="shared" si="6"/>
        <v>131707</v>
      </c>
      <c r="J78" s="15">
        <f t="shared" si="4"/>
        <v>13.03</v>
      </c>
    </row>
    <row r="79" spans="1:10" x14ac:dyDescent="0.3">
      <c r="A79" s="26" t="s">
        <v>90</v>
      </c>
      <c r="B79" s="26">
        <v>1458</v>
      </c>
      <c r="C79" s="15">
        <v>1482</v>
      </c>
      <c r="D79" s="15">
        <v>1508</v>
      </c>
      <c r="E79" s="15">
        <f t="shared" si="5"/>
        <v>4448</v>
      </c>
      <c r="F79" s="15">
        <v>131884</v>
      </c>
      <c r="G79" s="15">
        <v>130625</v>
      </c>
      <c r="H79" s="15">
        <v>118624</v>
      </c>
      <c r="I79" s="15">
        <f t="shared" si="6"/>
        <v>381133</v>
      </c>
      <c r="J79" s="15">
        <f t="shared" si="4"/>
        <v>11.67</v>
      </c>
    </row>
    <row r="80" spans="1:10" x14ac:dyDescent="0.3">
      <c r="A80" s="26" t="s">
        <v>91</v>
      </c>
      <c r="B80" s="26">
        <v>1179</v>
      </c>
      <c r="C80" s="15">
        <v>1253</v>
      </c>
      <c r="D80" s="15">
        <v>1265</v>
      </c>
      <c r="E80" s="15">
        <f t="shared" si="5"/>
        <v>3697</v>
      </c>
      <c r="F80" s="15">
        <v>90617</v>
      </c>
      <c r="G80" s="15">
        <v>91010</v>
      </c>
      <c r="H80" s="15">
        <v>93517</v>
      </c>
      <c r="I80" s="15">
        <f t="shared" si="6"/>
        <v>275144</v>
      </c>
      <c r="J80" s="15">
        <f t="shared" si="4"/>
        <v>13.44</v>
      </c>
    </row>
    <row r="81" spans="1:10" x14ac:dyDescent="0.3">
      <c r="A81" s="26" t="s">
        <v>92</v>
      </c>
      <c r="B81" s="26">
        <v>1663</v>
      </c>
      <c r="C81" s="15">
        <v>1634</v>
      </c>
      <c r="D81" s="15">
        <v>1760</v>
      </c>
      <c r="E81" s="15">
        <f t="shared" si="5"/>
        <v>5057</v>
      </c>
      <c r="F81" s="15">
        <v>141128</v>
      </c>
      <c r="G81" s="15">
        <v>142088</v>
      </c>
      <c r="H81" s="15">
        <v>153384</v>
      </c>
      <c r="I81" s="15">
        <f t="shared" si="6"/>
        <v>436600</v>
      </c>
      <c r="J81" s="15">
        <f t="shared" si="4"/>
        <v>11.58</v>
      </c>
    </row>
    <row r="82" spans="1:10" x14ac:dyDescent="0.3">
      <c r="A82" s="26" t="s">
        <v>93</v>
      </c>
      <c r="B82" s="26">
        <v>860</v>
      </c>
      <c r="C82" s="15">
        <v>877</v>
      </c>
      <c r="D82" s="15">
        <v>876</v>
      </c>
      <c r="E82" s="15">
        <f t="shared" si="5"/>
        <v>2613</v>
      </c>
      <c r="F82" s="15">
        <v>66775</v>
      </c>
      <c r="G82" s="15">
        <v>67029</v>
      </c>
      <c r="H82" s="15">
        <v>65587</v>
      </c>
      <c r="I82" s="15">
        <f t="shared" si="6"/>
        <v>199391</v>
      </c>
      <c r="J82" s="15">
        <f t="shared" si="4"/>
        <v>13.1</v>
      </c>
    </row>
    <row r="83" spans="1:10" x14ac:dyDescent="0.3">
      <c r="A83" s="26" t="s">
        <v>94</v>
      </c>
      <c r="B83" s="26">
        <v>702</v>
      </c>
      <c r="C83" s="15">
        <v>696</v>
      </c>
      <c r="D83" s="15">
        <v>739</v>
      </c>
      <c r="E83" s="15">
        <f t="shared" si="5"/>
        <v>2137</v>
      </c>
      <c r="F83" s="15">
        <v>63345</v>
      </c>
      <c r="G83" s="15">
        <v>63531</v>
      </c>
      <c r="H83" s="15">
        <v>60404</v>
      </c>
      <c r="I83" s="15">
        <f t="shared" si="6"/>
        <v>187280</v>
      </c>
      <c r="J83" s="15">
        <f t="shared" si="4"/>
        <v>11.41</v>
      </c>
    </row>
    <row r="84" spans="1:10" x14ac:dyDescent="0.3">
      <c r="A84" s="26" t="s">
        <v>95</v>
      </c>
      <c r="B84" s="26">
        <v>402</v>
      </c>
      <c r="C84" s="15">
        <v>409</v>
      </c>
      <c r="D84" s="15">
        <v>449</v>
      </c>
      <c r="E84" s="15">
        <f t="shared" si="5"/>
        <v>1260</v>
      </c>
      <c r="F84" s="15">
        <v>34751</v>
      </c>
      <c r="G84" s="15">
        <v>34823</v>
      </c>
      <c r="H84" s="15">
        <v>33898</v>
      </c>
      <c r="I84" s="15">
        <f t="shared" si="6"/>
        <v>103472</v>
      </c>
      <c r="J84" s="15">
        <f t="shared" si="4"/>
        <v>12.18</v>
      </c>
    </row>
    <row r="85" spans="1:10" x14ac:dyDescent="0.3">
      <c r="A85" s="26" t="s">
        <v>96</v>
      </c>
      <c r="B85" s="26">
        <v>694</v>
      </c>
      <c r="C85" s="15">
        <v>743</v>
      </c>
      <c r="D85" s="15">
        <v>792</v>
      </c>
      <c r="E85" s="15">
        <f t="shared" si="5"/>
        <v>2229</v>
      </c>
      <c r="F85" s="15">
        <v>62180</v>
      </c>
      <c r="G85" s="15">
        <v>62806</v>
      </c>
      <c r="H85" s="15">
        <v>67326</v>
      </c>
      <c r="I85" s="15">
        <f t="shared" si="6"/>
        <v>192312</v>
      </c>
      <c r="J85" s="15">
        <f t="shared" si="4"/>
        <v>11.59</v>
      </c>
    </row>
    <row r="86" spans="1:10" x14ac:dyDescent="0.3">
      <c r="A86" s="26" t="s">
        <v>97</v>
      </c>
      <c r="B86" s="26">
        <v>597</v>
      </c>
      <c r="C86" s="15">
        <v>550</v>
      </c>
      <c r="D86" s="15">
        <v>642</v>
      </c>
      <c r="E86" s="15">
        <f t="shared" si="5"/>
        <v>1789</v>
      </c>
      <c r="F86" s="15">
        <v>45511</v>
      </c>
      <c r="G86" s="15">
        <v>45591</v>
      </c>
      <c r="H86" s="15">
        <v>45857</v>
      </c>
      <c r="I86" s="15">
        <f t="shared" si="6"/>
        <v>136959</v>
      </c>
      <c r="J86" s="15">
        <f t="shared" si="4"/>
        <v>13.06</v>
      </c>
    </row>
    <row r="87" spans="1:10" x14ac:dyDescent="0.3">
      <c r="A87" s="26" t="s">
        <v>98</v>
      </c>
      <c r="B87" s="26">
        <v>984</v>
      </c>
      <c r="C87" s="15">
        <v>1000</v>
      </c>
      <c r="D87" s="15">
        <v>996</v>
      </c>
      <c r="E87" s="15">
        <f t="shared" si="5"/>
        <v>2980</v>
      </c>
      <c r="F87" s="15">
        <v>71959</v>
      </c>
      <c r="G87" s="15">
        <v>71783</v>
      </c>
      <c r="H87" s="15">
        <v>71547</v>
      </c>
      <c r="I87" s="15">
        <f t="shared" si="6"/>
        <v>215289</v>
      </c>
      <c r="J87" s="15">
        <f t="shared" si="4"/>
        <v>13.84</v>
      </c>
    </row>
    <row r="88" spans="1:10" x14ac:dyDescent="0.3">
      <c r="A88" s="26" t="s">
        <v>99</v>
      </c>
      <c r="B88" s="26">
        <v>214</v>
      </c>
      <c r="C88" s="15">
        <v>220</v>
      </c>
      <c r="D88" s="15">
        <v>221</v>
      </c>
      <c r="E88" s="15">
        <f t="shared" si="5"/>
        <v>655</v>
      </c>
      <c r="F88" s="15">
        <v>14249</v>
      </c>
      <c r="G88" s="15">
        <v>14271</v>
      </c>
      <c r="H88" s="15">
        <v>13945</v>
      </c>
      <c r="I88" s="15">
        <f t="shared" si="6"/>
        <v>42465</v>
      </c>
      <c r="J88" s="15">
        <f t="shared" si="4"/>
        <v>15.42</v>
      </c>
    </row>
    <row r="89" spans="1:10" x14ac:dyDescent="0.3">
      <c r="A89" s="26" t="s">
        <v>100</v>
      </c>
      <c r="B89" s="26">
        <v>411</v>
      </c>
      <c r="C89" s="15">
        <v>453</v>
      </c>
      <c r="D89" s="15">
        <v>457</v>
      </c>
      <c r="E89" s="15">
        <f t="shared" si="5"/>
        <v>1321</v>
      </c>
      <c r="F89" s="15">
        <v>34173</v>
      </c>
      <c r="G89" s="15">
        <v>34385</v>
      </c>
      <c r="H89" s="15">
        <v>34103</v>
      </c>
      <c r="I89" s="15">
        <f t="shared" si="6"/>
        <v>102661</v>
      </c>
      <c r="J89" s="15">
        <f t="shared" si="4"/>
        <v>12.87</v>
      </c>
    </row>
    <row r="90" spans="1:10" x14ac:dyDescent="0.3">
      <c r="A90" s="26" t="s">
        <v>101</v>
      </c>
      <c r="B90" s="26">
        <v>53</v>
      </c>
      <c r="C90" s="15">
        <v>40</v>
      </c>
      <c r="D90" s="15">
        <v>49</v>
      </c>
      <c r="E90" s="15">
        <f t="shared" si="5"/>
        <v>142</v>
      </c>
      <c r="F90" s="15">
        <v>4115</v>
      </c>
      <c r="G90" s="15">
        <v>4016</v>
      </c>
      <c r="H90" s="15">
        <v>3517</v>
      </c>
      <c r="I90" s="15">
        <f t="shared" si="6"/>
        <v>11648</v>
      </c>
      <c r="J90" s="15">
        <f t="shared" si="4"/>
        <v>12.19</v>
      </c>
    </row>
    <row r="91" spans="1:10" x14ac:dyDescent="0.3">
      <c r="A91" s="26" t="s">
        <v>102</v>
      </c>
      <c r="B91" s="26">
        <v>1490</v>
      </c>
      <c r="C91" s="15">
        <v>1556</v>
      </c>
      <c r="D91" s="15">
        <v>1585</v>
      </c>
      <c r="E91" s="15">
        <f t="shared" si="5"/>
        <v>4631</v>
      </c>
      <c r="F91" s="15">
        <v>235830</v>
      </c>
      <c r="G91" s="15">
        <v>239859</v>
      </c>
      <c r="H91" s="15">
        <v>263386</v>
      </c>
      <c r="I91" s="15">
        <f t="shared" si="6"/>
        <v>739075</v>
      </c>
      <c r="J91" s="15">
        <f t="shared" si="4"/>
        <v>6.27</v>
      </c>
    </row>
    <row r="92" spans="1:10" x14ac:dyDescent="0.3">
      <c r="A92" s="26" t="s">
        <v>103</v>
      </c>
      <c r="B92" s="26">
        <v>527</v>
      </c>
      <c r="C92" s="15">
        <v>514</v>
      </c>
      <c r="D92" s="15">
        <v>550</v>
      </c>
      <c r="E92" s="15">
        <f t="shared" si="5"/>
        <v>1591</v>
      </c>
      <c r="F92" s="15">
        <v>44635</v>
      </c>
      <c r="G92" s="15">
        <v>44535</v>
      </c>
      <c r="H92" s="15">
        <v>42337</v>
      </c>
      <c r="I92" s="15">
        <f t="shared" si="6"/>
        <v>131507</v>
      </c>
      <c r="J92" s="15">
        <f t="shared" si="4"/>
        <v>12.1</v>
      </c>
    </row>
    <row r="93" spans="1:10" x14ac:dyDescent="0.3">
      <c r="A93" s="26" t="s">
        <v>104</v>
      </c>
      <c r="B93" s="26">
        <v>5856</v>
      </c>
      <c r="C93" s="15">
        <v>6020</v>
      </c>
      <c r="D93" s="15">
        <v>6752</v>
      </c>
      <c r="E93" s="15">
        <f t="shared" si="5"/>
        <v>18628</v>
      </c>
      <c r="F93" s="15">
        <v>1091273</v>
      </c>
      <c r="G93" s="15">
        <v>1111761</v>
      </c>
      <c r="H93" s="15">
        <v>1232444</v>
      </c>
      <c r="I93" s="15">
        <f t="shared" si="6"/>
        <v>3435478</v>
      </c>
      <c r="J93" s="15">
        <f t="shared" si="4"/>
        <v>5.42</v>
      </c>
    </row>
    <row r="94" spans="1:10" x14ac:dyDescent="0.3">
      <c r="A94" s="26" t="s">
        <v>105</v>
      </c>
      <c r="B94" s="26">
        <v>262</v>
      </c>
      <c r="C94" s="15">
        <v>246</v>
      </c>
      <c r="D94" s="15">
        <v>261</v>
      </c>
      <c r="E94" s="15">
        <f t="shared" si="5"/>
        <v>769</v>
      </c>
      <c r="F94" s="15">
        <v>19819</v>
      </c>
      <c r="G94" s="15">
        <v>19731</v>
      </c>
      <c r="H94" s="15">
        <v>19081</v>
      </c>
      <c r="I94" s="15">
        <f t="shared" si="6"/>
        <v>58631</v>
      </c>
      <c r="J94" s="15">
        <f t="shared" si="4"/>
        <v>13.12</v>
      </c>
    </row>
    <row r="95" spans="1:10" x14ac:dyDescent="0.3">
      <c r="A95" s="26" t="s">
        <v>106</v>
      </c>
      <c r="B95" s="26">
        <v>157</v>
      </c>
      <c r="C95" s="15">
        <v>172</v>
      </c>
      <c r="D95" s="15">
        <v>155</v>
      </c>
      <c r="E95" s="15">
        <f t="shared" si="5"/>
        <v>484</v>
      </c>
      <c r="F95" s="15">
        <v>11769</v>
      </c>
      <c r="G95" s="15">
        <v>11580</v>
      </c>
      <c r="H95" s="15">
        <v>10654</v>
      </c>
      <c r="I95" s="15">
        <f t="shared" si="6"/>
        <v>34003</v>
      </c>
      <c r="J95" s="15">
        <f t="shared" si="4"/>
        <v>14.23</v>
      </c>
    </row>
    <row r="96" spans="1:10" x14ac:dyDescent="0.3">
      <c r="A96" s="26" t="s">
        <v>107</v>
      </c>
      <c r="B96" s="26">
        <v>345</v>
      </c>
      <c r="C96" s="15">
        <v>408</v>
      </c>
      <c r="D96" s="15">
        <v>380</v>
      </c>
      <c r="E96" s="15">
        <f t="shared" si="5"/>
        <v>1133</v>
      </c>
      <c r="F96" s="15">
        <v>56034</v>
      </c>
      <c r="G96" s="15">
        <v>56177</v>
      </c>
      <c r="H96" s="15">
        <v>54997</v>
      </c>
      <c r="I96" s="15">
        <f t="shared" si="6"/>
        <v>167208</v>
      </c>
      <c r="J96" s="15">
        <f t="shared" si="4"/>
        <v>6.78</v>
      </c>
    </row>
    <row r="97" spans="1:10" x14ac:dyDescent="0.3">
      <c r="A97" s="26" t="s">
        <v>108</v>
      </c>
      <c r="B97" s="26">
        <v>1324</v>
      </c>
      <c r="C97" s="15">
        <v>1391</v>
      </c>
      <c r="D97" s="15">
        <v>1422</v>
      </c>
      <c r="E97" s="15">
        <f t="shared" si="5"/>
        <v>4137</v>
      </c>
      <c r="F97" s="15">
        <v>123237</v>
      </c>
      <c r="G97" s="15">
        <v>123131</v>
      </c>
      <c r="H97" s="15">
        <v>120338</v>
      </c>
      <c r="I97" s="15">
        <f t="shared" si="6"/>
        <v>366706</v>
      </c>
      <c r="J97" s="15">
        <f t="shared" si="4"/>
        <v>11.28</v>
      </c>
    </row>
    <row r="98" spans="1:10" x14ac:dyDescent="0.3">
      <c r="A98" s="26" t="s">
        <v>109</v>
      </c>
      <c r="B98" s="26">
        <v>838</v>
      </c>
      <c r="C98" s="15">
        <v>869</v>
      </c>
      <c r="D98" s="15">
        <v>998</v>
      </c>
      <c r="E98" s="15">
        <f t="shared" si="5"/>
        <v>2705</v>
      </c>
      <c r="F98" s="15">
        <v>68563</v>
      </c>
      <c r="G98" s="15">
        <v>68412</v>
      </c>
      <c r="H98" s="15">
        <v>66186</v>
      </c>
      <c r="I98" s="15">
        <f t="shared" si="6"/>
        <v>203161</v>
      </c>
      <c r="J98" s="15">
        <f t="shared" ref="J98:J102" si="7">ROUND((E98/I98*100000)/100,2)</f>
        <v>13.31</v>
      </c>
    </row>
    <row r="99" spans="1:10" x14ac:dyDescent="0.3">
      <c r="A99" s="26" t="s">
        <v>110</v>
      </c>
      <c r="B99" s="26">
        <v>979</v>
      </c>
      <c r="C99" s="15">
        <v>925</v>
      </c>
      <c r="D99" s="15">
        <v>936</v>
      </c>
      <c r="E99" s="15">
        <f t="shared" si="5"/>
        <v>2840</v>
      </c>
      <c r="F99" s="15">
        <v>81392</v>
      </c>
      <c r="G99" s="15">
        <v>81801</v>
      </c>
      <c r="H99" s="15">
        <v>79958</v>
      </c>
      <c r="I99" s="15">
        <f t="shared" si="6"/>
        <v>243151</v>
      </c>
      <c r="J99" s="15">
        <f t="shared" si="7"/>
        <v>11.68</v>
      </c>
    </row>
    <row r="100" spans="1:10" x14ac:dyDescent="0.3">
      <c r="A100" s="26" t="s">
        <v>111</v>
      </c>
      <c r="B100" s="26">
        <v>450</v>
      </c>
      <c r="C100" s="15">
        <v>455</v>
      </c>
      <c r="D100" s="15">
        <v>510</v>
      </c>
      <c r="E100" s="15">
        <f t="shared" si="5"/>
        <v>1415</v>
      </c>
      <c r="F100" s="15">
        <v>37481</v>
      </c>
      <c r="G100" s="15">
        <v>37667</v>
      </c>
      <c r="H100" s="15">
        <v>37995</v>
      </c>
      <c r="I100" s="15">
        <f t="shared" si="6"/>
        <v>113143</v>
      </c>
      <c r="J100" s="15">
        <f t="shared" si="7"/>
        <v>12.51</v>
      </c>
    </row>
    <row r="101" spans="1:10" x14ac:dyDescent="0.3">
      <c r="A101" s="17" t="s">
        <v>112</v>
      </c>
      <c r="B101" s="17">
        <v>248</v>
      </c>
      <c r="C101" s="18">
        <v>250</v>
      </c>
      <c r="D101" s="18">
        <v>300</v>
      </c>
      <c r="E101" s="18">
        <f t="shared" si="5"/>
        <v>798</v>
      </c>
      <c r="F101" s="18">
        <v>17873</v>
      </c>
      <c r="G101" s="18">
        <v>18069</v>
      </c>
      <c r="H101" s="18">
        <v>18993</v>
      </c>
      <c r="I101" s="18">
        <f t="shared" si="6"/>
        <v>54935</v>
      </c>
      <c r="J101" s="18">
        <f t="shared" si="7"/>
        <v>14.53</v>
      </c>
    </row>
    <row r="102" spans="1:10" x14ac:dyDescent="0.3">
      <c r="A102" s="17" t="s">
        <v>153</v>
      </c>
      <c r="B102" s="17">
        <f>SUM(B2:B101)</f>
        <v>94005</v>
      </c>
      <c r="C102" s="18">
        <f t="shared" ref="C102:D102" si="8">SUM(C2:C101)</f>
        <v>95951</v>
      </c>
      <c r="D102" s="18">
        <f t="shared" si="8"/>
        <v>103113</v>
      </c>
      <c r="E102" s="18">
        <f t="shared" si="5"/>
        <v>293069</v>
      </c>
      <c r="F102" s="18">
        <f t="shared" ref="F102" si="9">SUM(F2:F101)</f>
        <v>10381615</v>
      </c>
      <c r="G102" s="18">
        <f t="shared" ref="G102:H102" si="10">SUM(G2:G101)</f>
        <v>10488084</v>
      </c>
      <c r="H102" s="18">
        <f t="shared" si="10"/>
        <v>11046024</v>
      </c>
      <c r="I102" s="18">
        <f t="shared" si="6"/>
        <v>31915723</v>
      </c>
      <c r="J102" s="18">
        <f t="shared" si="7"/>
        <v>9.18</v>
      </c>
    </row>
  </sheetData>
  <sheetProtection algorithmName="SHA-512" hashValue="EPsnbkS5yVbg1OwWmxLFWEcFvf/nvf+Enp5Uw4eTJLa65PJdfFhxtlipzg1nd2tdzXTmFn2pj7Ob2wlg6VkWrw==" saltValue="+VE0uiuD17Blo9miFPQ5Cg==" spinCount="100000" sheet="1" objects="1" scenarios="1"/>
  <pageMargins left="0.7" right="0.7" top="0.75" bottom="0.75" header="0.3" footer="0.3"/>
  <ignoredErrors>
    <ignoredError sqref="E102 I10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Run Model</vt:lpstr>
      <vt:lpstr>Table 13B</vt:lpstr>
      <vt:lpstr>Death Rate</vt:lpstr>
      <vt:lpstr>'Table 13B'!Print_Area</vt:lpstr>
      <vt:lpstr>'Table 13B'!Print_Titles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Patel, Nirali S</dc:creator>
  <cp:lastModifiedBy>Brown, Elizabeth</cp:lastModifiedBy>
  <cp:lastPrinted>2026-03-02T16:29:41Z</cp:lastPrinted>
  <dcterms:created xsi:type="dcterms:W3CDTF">2026-02-16T18:33:33Z</dcterms:created>
  <dcterms:modified xsi:type="dcterms:W3CDTF">2026-03-11T17:48:34Z</dcterms:modified>
</cp:coreProperties>
</file>